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ВИКОНКОМ\2. 07-01 02.07.2020\Підготовка\САЙТ\06 Питання ЖКГ\119-01 02.07.2020\"/>
    </mc:Choice>
  </mc:AlternateContent>
  <bookViews>
    <workbookView xWindow="0" yWindow="0" windowWidth="20490" windowHeight="7050"/>
  </bookViews>
  <sheets>
    <sheet name="4" sheetId="6" r:id="rId1"/>
  </sheets>
  <definedNames>
    <definedName name="_xlnm.Print_Titles" localSheetId="0">'4'!$21:$21</definedName>
    <definedName name="_xlnm.Print_Area" localSheetId="0">'4'!$A$1:$W$105</definedName>
  </definedNames>
  <calcPr calcId="162913"/>
</workbook>
</file>

<file path=xl/calcChain.xml><?xml version="1.0" encoding="utf-8"?>
<calcChain xmlns="http://schemas.openxmlformats.org/spreadsheetml/2006/main">
  <c r="D79" i="6" l="1"/>
  <c r="R92" i="6"/>
  <c r="Q92" i="6"/>
  <c r="N92" i="6"/>
  <c r="I92" i="6"/>
  <c r="D92" i="6"/>
  <c r="D58" i="6"/>
  <c r="D60" i="6" s="1"/>
  <c r="M60" i="6" l="1"/>
  <c r="O79" i="6"/>
  <c r="N60" i="6"/>
  <c r="R60" i="6"/>
  <c r="Q60" i="6"/>
  <c r="N70" i="6"/>
  <c r="I60" i="6"/>
  <c r="D108" i="6"/>
  <c r="D109" i="6" s="1"/>
  <c r="W78" i="6" l="1"/>
  <c r="P92" i="6" l="1"/>
  <c r="I79" i="6"/>
  <c r="I51" i="6"/>
  <c r="I70" i="6" s="1"/>
  <c r="D50" i="6"/>
  <c r="D49" i="6"/>
  <c r="U48" i="6"/>
  <c r="U47" i="6"/>
  <c r="U46" i="6"/>
  <c r="W46" i="6" s="1"/>
  <c r="S46" i="6" s="1"/>
  <c r="U45" i="6"/>
  <c r="U44" i="6"/>
  <c r="W44" i="6" s="1"/>
  <c r="S44" i="6" s="1"/>
  <c r="U43" i="6"/>
  <c r="U42" i="6"/>
  <c r="U41" i="6"/>
  <c r="U40" i="6"/>
  <c r="U39" i="6"/>
  <c r="U38" i="6"/>
  <c r="W38" i="6" s="1"/>
  <c r="S38" i="6" s="1"/>
  <c r="U37" i="6"/>
  <c r="U36" i="6"/>
  <c r="W36" i="6" s="1"/>
  <c r="S36" i="6" s="1"/>
  <c r="U35" i="6"/>
  <c r="U34" i="6"/>
  <c r="W34" i="6" s="1"/>
  <c r="S34" i="6" s="1"/>
  <c r="U33" i="6"/>
  <c r="U32" i="6"/>
  <c r="U31" i="6"/>
  <c r="U30" i="6"/>
  <c r="W30" i="6" s="1"/>
  <c r="S30" i="6" s="1"/>
  <c r="U29" i="6"/>
  <c r="U28" i="6"/>
  <c r="W28" i="6" s="1"/>
  <c r="S28" i="6" s="1"/>
  <c r="U27" i="6"/>
  <c r="U26" i="6"/>
  <c r="W26" i="6" s="1"/>
  <c r="S26" i="6" s="1"/>
  <c r="U25" i="6"/>
  <c r="Q82" i="6"/>
  <c r="P82" i="6"/>
  <c r="O92" i="6"/>
  <c r="U77" i="6"/>
  <c r="W77" i="6" s="1"/>
  <c r="S77" i="6" s="1"/>
  <c r="U76" i="6"/>
  <c r="W76" i="6" s="1"/>
  <c r="S76" i="6" s="1"/>
  <c r="U75" i="6"/>
  <c r="W75" i="6" s="1"/>
  <c r="S75" i="6" s="1"/>
  <c r="U74" i="6"/>
  <c r="W40" i="6"/>
  <c r="W32" i="6"/>
  <c r="S32" i="6" s="1"/>
  <c r="W42" i="6"/>
  <c r="S42" i="6" s="1"/>
  <c r="W74" i="6"/>
  <c r="W47" i="6"/>
  <c r="S47" i="6" s="1"/>
  <c r="W45" i="6"/>
  <c r="S45" i="6" s="1"/>
  <c r="W43" i="6"/>
  <c r="S43" i="6" s="1"/>
  <c r="W41" i="6"/>
  <c r="S41" i="6" s="1"/>
  <c r="W39" i="6"/>
  <c r="S39" i="6" s="1"/>
  <c r="W37" i="6"/>
  <c r="S37" i="6" s="1"/>
  <c r="W35" i="6"/>
  <c r="S35" i="6" s="1"/>
  <c r="W33" i="6"/>
  <c r="S33" i="6" s="1"/>
  <c r="W31" i="6"/>
  <c r="S31" i="6" s="1"/>
  <c r="W29" i="6"/>
  <c r="S29" i="6" s="1"/>
  <c r="W27" i="6"/>
  <c r="S27" i="6" s="1"/>
  <c r="W25" i="6"/>
  <c r="D51" i="6" l="1"/>
  <c r="I97" i="6"/>
  <c r="S74" i="6"/>
  <c r="W79" i="6"/>
  <c r="S78" i="6"/>
  <c r="U79" i="6"/>
  <c r="U96" i="6" s="1"/>
  <c r="I96" i="6"/>
  <c r="S48" i="6"/>
  <c r="W48" i="6"/>
  <c r="S40" i="6"/>
  <c r="W51" i="6"/>
  <c r="S25" i="6"/>
  <c r="N96" i="6"/>
  <c r="N97" i="6" s="1"/>
  <c r="E88" i="6"/>
  <c r="E92" i="6" s="1"/>
  <c r="O82" i="6"/>
  <c r="E81" i="6"/>
  <c r="E82" i="6" s="1"/>
  <c r="D82" i="6"/>
  <c r="P54" i="6"/>
  <c r="Q54" i="6"/>
  <c r="R54" i="6"/>
  <c r="O54" i="6"/>
  <c r="E53" i="6"/>
  <c r="L53" i="6" s="1"/>
  <c r="D54" i="6"/>
  <c r="E54" i="6" s="1"/>
  <c r="E26" i="6"/>
  <c r="L26" i="6" s="1"/>
  <c r="M26" i="6" s="1"/>
  <c r="O26" i="6" s="1"/>
  <c r="E27" i="6"/>
  <c r="L27" i="6" s="1"/>
  <c r="M27" i="6" s="1"/>
  <c r="O27" i="6" s="1"/>
  <c r="E28" i="6"/>
  <c r="L28" i="6" s="1"/>
  <c r="M28" i="6" s="1"/>
  <c r="O28" i="6" s="1"/>
  <c r="E29" i="6"/>
  <c r="L29" i="6" s="1"/>
  <c r="M29" i="6" s="1"/>
  <c r="O29" i="6" s="1"/>
  <c r="E30" i="6"/>
  <c r="L30" i="6" s="1"/>
  <c r="M30" i="6" s="1"/>
  <c r="O30" i="6" s="1"/>
  <c r="E31" i="6"/>
  <c r="L31" i="6" s="1"/>
  <c r="M31" i="6" s="1"/>
  <c r="P31" i="6" s="1"/>
  <c r="E32" i="6"/>
  <c r="L32" i="6" s="1"/>
  <c r="M32" i="6" s="1"/>
  <c r="P32" i="6" s="1"/>
  <c r="E33" i="6"/>
  <c r="L33" i="6" s="1"/>
  <c r="M33" i="6" s="1"/>
  <c r="P33" i="6" s="1"/>
  <c r="E34" i="6"/>
  <c r="L34" i="6" s="1"/>
  <c r="M34" i="6" s="1"/>
  <c r="P34" i="6" s="1"/>
  <c r="E35" i="6"/>
  <c r="L35" i="6" s="1"/>
  <c r="M35" i="6" s="1"/>
  <c r="P35" i="6" s="1"/>
  <c r="E36" i="6"/>
  <c r="L36" i="6" s="1"/>
  <c r="M36" i="6" s="1"/>
  <c r="Q36" i="6" s="1"/>
  <c r="E37" i="6"/>
  <c r="L37" i="6" s="1"/>
  <c r="M37" i="6" s="1"/>
  <c r="Q37" i="6" s="1"/>
  <c r="E38" i="6"/>
  <c r="L38" i="6" s="1"/>
  <c r="M38" i="6" s="1"/>
  <c r="Q38" i="6" s="1"/>
  <c r="E39" i="6"/>
  <c r="L39" i="6" s="1"/>
  <c r="M39" i="6" s="1"/>
  <c r="Q39" i="6" s="1"/>
  <c r="E40" i="6"/>
  <c r="L40" i="6" s="1"/>
  <c r="M40" i="6" s="1"/>
  <c r="Q40" i="6" s="1"/>
  <c r="E41" i="6"/>
  <c r="L41" i="6" s="1"/>
  <c r="M41" i="6" s="1"/>
  <c r="R41" i="6" s="1"/>
  <c r="E42" i="6"/>
  <c r="L42" i="6" s="1"/>
  <c r="M42" i="6" s="1"/>
  <c r="R42" i="6" s="1"/>
  <c r="E43" i="6"/>
  <c r="L43" i="6" s="1"/>
  <c r="M43" i="6" s="1"/>
  <c r="R43" i="6" s="1"/>
  <c r="E44" i="6"/>
  <c r="L44" i="6" s="1"/>
  <c r="M44" i="6" s="1"/>
  <c r="R44" i="6" s="1"/>
  <c r="E45" i="6"/>
  <c r="L45" i="6" s="1"/>
  <c r="M45" i="6" s="1"/>
  <c r="R45" i="6" s="1"/>
  <c r="E46" i="6"/>
  <c r="L46" i="6" s="1"/>
  <c r="M46" i="6" s="1"/>
  <c r="P46" i="6" s="1"/>
  <c r="E47" i="6"/>
  <c r="L47" i="6" s="1"/>
  <c r="M47" i="6" s="1"/>
  <c r="Q47" i="6" s="1"/>
  <c r="E48" i="6"/>
  <c r="L48" i="6" s="1"/>
  <c r="M48" i="6" s="1"/>
  <c r="R48" i="6" s="1"/>
  <c r="E25" i="6"/>
  <c r="L88" i="6"/>
  <c r="L92" i="6" s="1"/>
  <c r="W96" i="6"/>
  <c r="O96" i="6"/>
  <c r="E77" i="6"/>
  <c r="L77" i="6" s="1"/>
  <c r="M77" i="6" s="1"/>
  <c r="P77" i="6" s="1"/>
  <c r="E76" i="6"/>
  <c r="L76" i="6" s="1"/>
  <c r="M76" i="6" s="1"/>
  <c r="Q76" i="6" s="1"/>
  <c r="E75" i="6"/>
  <c r="L75" i="6" s="1"/>
  <c r="M75" i="6" s="1"/>
  <c r="R75" i="6" s="1"/>
  <c r="R79" i="6" s="1"/>
  <c r="E74" i="6"/>
  <c r="L74" i="6" s="1"/>
  <c r="U51" i="6"/>
  <c r="U70" i="6" s="1"/>
  <c r="P79" i="6" l="1"/>
  <c r="P96" i="6" s="1"/>
  <c r="L25" i="6"/>
  <c r="M25" i="6" s="1"/>
  <c r="E51" i="6"/>
  <c r="L51" i="6" s="1"/>
  <c r="P51" i="6"/>
  <c r="D70" i="6"/>
  <c r="Q51" i="6"/>
  <c r="Q70" i="6" s="1"/>
  <c r="D96" i="6"/>
  <c r="E70" i="6"/>
  <c r="L81" i="6"/>
  <c r="L82" i="6" s="1"/>
  <c r="M82" i="6" s="1"/>
  <c r="L54" i="6"/>
  <c r="M53" i="6"/>
  <c r="M54" i="6" s="1"/>
  <c r="L70" i="6"/>
  <c r="L79" i="6"/>
  <c r="L96" i="6" s="1"/>
  <c r="M74" i="6"/>
  <c r="E79" i="6"/>
  <c r="E96" i="6" s="1"/>
  <c r="W70" i="6"/>
  <c r="W97" i="6" s="1"/>
  <c r="E97" i="6" l="1"/>
  <c r="M51" i="6"/>
  <c r="M70" i="6" s="1"/>
  <c r="O25" i="6"/>
  <c r="O51" i="6" s="1"/>
  <c r="Q74" i="6"/>
  <c r="Q79" i="6" s="1"/>
  <c r="Q96" i="6" s="1"/>
  <c r="Q97" i="6" s="1"/>
  <c r="M79" i="6"/>
  <c r="M96" i="6"/>
  <c r="M97" i="6" s="1"/>
  <c r="M81" i="6"/>
  <c r="R81" i="6" s="1"/>
  <c r="R82" i="6" s="1"/>
  <c r="R96" i="6" s="1"/>
  <c r="P70" i="6"/>
  <c r="P97" i="6" s="1"/>
  <c r="R51" i="6"/>
  <c r="R70" i="6" s="1"/>
  <c r="U97" i="6"/>
  <c r="L97" i="6"/>
  <c r="D97" i="6" l="1"/>
  <c r="R97" i="6"/>
  <c r="O70" i="6" l="1"/>
  <c r="O97" i="6" s="1"/>
</calcChain>
</file>

<file path=xl/sharedStrings.xml><?xml version="1.0" encoding="utf-8"?>
<sst xmlns="http://schemas.openxmlformats.org/spreadsheetml/2006/main" count="273" uniqueCount="212">
  <si>
    <t>№ з/п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</si>
  <si>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</si>
  <si>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</si>
  <si>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</si>
  <si>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</si>
  <si>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</si>
  <si>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</si>
  <si>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</si>
  <si>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</si>
  <si>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</si>
  <si>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</si>
  <si>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 xml:space="preserve">ПОГОДЖЕНО </t>
  </si>
  <si>
    <t xml:space="preserve">ЗАТВЕРДЖЕНО                         </t>
  </si>
  <si>
    <t>(посадова особа ліцензіата)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</si>
  <si>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</si>
  <si>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</si>
  <si>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</si>
  <si>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</si>
  <si>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</si>
  <si>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</si>
  <si>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</si>
  <si>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</si>
  <si>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</si>
  <si>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</si>
  <si>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</si>
  <si>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</si>
  <si>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</si>
  <si>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</si>
  <si>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</si>
  <si>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</si>
  <si>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</si>
  <si>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</si>
  <si>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</si>
  <si>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Економія паливно-енергетичних ресурсів            (кВт/год/рік)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</si>
  <si>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</si>
  <si>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</si>
  <si>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</si>
  <si>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</si>
  <si>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</si>
  <si>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</si>
  <si>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</si>
  <si>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</si>
  <si>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</si>
  <si>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</si>
  <si>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</si>
  <si>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</si>
  <si>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</si>
  <si>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</si>
  <si>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</si>
  <si>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</si>
  <si>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</si>
  <si>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</si>
  <si>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</si>
  <si>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</si>
  <si>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</si>
  <si>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</si>
  <si>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</si>
  <si>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</si>
  <si>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</si>
  <si>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</si>
  <si>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</si>
  <si>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</si>
  <si>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</si>
  <si>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</si>
  <si>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</si>
  <si>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</si>
  <si>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</si>
  <si>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підряд ний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</si>
  <si>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</si>
  <si>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</si>
  <si>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</si>
  <si>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</si>
  <si>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1.1.1</t>
  </si>
  <si>
    <t>1.1.2</t>
  </si>
  <si>
    <t>1.1.3</t>
  </si>
  <si>
    <t>1.1.4</t>
  </si>
  <si>
    <t>КП "Водоканал" Мелітопольської міської ради Запорізької області</t>
  </si>
  <si>
    <t>Графік здійснення заходів та використання коштів на планований період,  тис. грн (без ПДВ)</t>
  </si>
  <si>
    <t>М.П.</t>
  </si>
  <si>
    <r>
      <t xml:space="preserve"> Будівництво, реконструкція та модернізація об</t>
    </r>
    <r>
      <rPr>
        <b/>
        <sz val="12"/>
        <rFont val="Calibri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</si>
  <si>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2"/>
        <rFont val="Calibri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 водовідведення, з урахуванням:</t>
    </r>
  </si>
  <si>
    <t xml:space="preserve">                                                 (найменування органу місцевого самоврядування)</t>
  </si>
  <si>
    <t xml:space="preserve">рішенням виконавчого комітету Мелітопольської міської ради Запорізької області </t>
  </si>
  <si>
    <t>1.1.5</t>
  </si>
  <si>
    <t>1.1.6</t>
  </si>
  <si>
    <t>1.1.7</t>
  </si>
  <si>
    <t>2.2.1</t>
  </si>
  <si>
    <t xml:space="preserve">                                              (підпис)</t>
  </si>
  <si>
    <t xml:space="preserve">Технічне  переоснащення насосного обладнання та системи електропостачання артезіанської свердловини № 8 Мелітопольського водозабору </t>
  </si>
  <si>
    <t>Технічне  переоснащення насосного обладнання та системи електропостачання артезіанської свердловини № 26 Мелітопольського водозабору (з кожухом)</t>
  </si>
  <si>
    <t>Технічне  переоснащення насосного обладнання та системи електропостачання артезіанської свердловини № 30 Мелітопольського водозабору  (з кожухом)</t>
  </si>
  <si>
    <t>Технічне  переоснащення насосного обладнання та системи електропостачання артезіанської свердловини № 31 Мелітопольського водозабору  (з кожухом)</t>
  </si>
  <si>
    <t xml:space="preserve">Технічне  переоснащення насосного обладнання та системи електропостачання артезіанської свердловини № 10 Мелітопольського водозабору </t>
  </si>
  <si>
    <t xml:space="preserve">Технічне  переоснащення насосного обладнання та системи електропостачання артезіанської свердловини № 11 Мелітопольського водозабору </t>
  </si>
  <si>
    <t>1.1.8</t>
  </si>
  <si>
    <t>1.1.9</t>
  </si>
  <si>
    <t>1.1.10</t>
  </si>
  <si>
    <t xml:space="preserve">Технічне  переоснащення насосного обладнання та системи електропостачання артезіанської свердловини № 13 Мелітопольського водозабору </t>
  </si>
  <si>
    <t>1.1.11</t>
  </si>
  <si>
    <t xml:space="preserve">Технічне  переоснащення насосного обладнання та системи електропостачання артезіанської свердловини № 15 Мелітопольського водозабору </t>
  </si>
  <si>
    <t>1.1.12</t>
  </si>
  <si>
    <t xml:space="preserve">Технічне  переоснащення насосного обладнання та системи електропостачання артезіанської свердловини № 20 Мелітопольського водозабору </t>
  </si>
  <si>
    <t>1.1.13</t>
  </si>
  <si>
    <t>Технічне  переоснащення насосного обладнання та системи електропостачання артезіанської свердловини № 21 Мелітопольського водозабору  (з кожухом)</t>
  </si>
  <si>
    <t>1.1.14</t>
  </si>
  <si>
    <t>Технічне  переоснащення насосного обладнання та системи електропостачання артезіанської свердловини № 22 Мелітопольського водозабору  (з кожухом)</t>
  </si>
  <si>
    <t>1.1.15</t>
  </si>
  <si>
    <t>Технічне  переоснащення насосного обладнання та системи електропостачання артезіанської свердловини № 23 Мелітопольського водозабору  (з кожухом)</t>
  </si>
  <si>
    <t>1.1.16</t>
  </si>
  <si>
    <t>Технічне  переоснащення насосного обладнання та системи електропостачання артезіанської свердловини № 3 СВКГ "Авіа С"</t>
  </si>
  <si>
    <t>1.1.17</t>
  </si>
  <si>
    <t>Технічне  переоснащення насосного обладнання та системи електропостачання артезіанської свердловини № 5 СВКГ "Авіа С"</t>
  </si>
  <si>
    <t>1.1.18</t>
  </si>
  <si>
    <t>Технічне  переоснащення насосного обладнання та системи електропостачання артезіанської свердловини № 6 СВКГ "Авіа С"</t>
  </si>
  <si>
    <t>1.1.19</t>
  </si>
  <si>
    <t xml:space="preserve">Технічне  переоснащення насосного обладнання та системи електропостачання артезіанської свердловини № 8 Новопилипівського водозабору  </t>
  </si>
  <si>
    <t>1.1.20</t>
  </si>
  <si>
    <t xml:space="preserve">Технічне  переоснащення насосного обладнання та системи електропостачання артезіанської свердловини № 9 Новопилипівського водозабору  </t>
  </si>
  <si>
    <t>1.1.21</t>
  </si>
  <si>
    <t xml:space="preserve">Технічне  переоснащення насосного обладнання та системи електропостачання артезіанської свердловини № 12 Новопилипівського водозабору  </t>
  </si>
  <si>
    <t>1.1.22</t>
  </si>
  <si>
    <t xml:space="preserve">Технічне  переоснащення насосного обладнання артезіанської свердловини № 14 Новопилипівського водозабору  </t>
  </si>
  <si>
    <t>1.1.23</t>
  </si>
  <si>
    <t xml:space="preserve">Технічне  переоснащення насосного обладнання та системи електропостачання артезіанської свердловини № 16 Новопилипівського водозабору  </t>
  </si>
  <si>
    <t>1.1.24</t>
  </si>
  <si>
    <t xml:space="preserve">Технічне  переоснащення насосного обладнання  артезіанської свердловини № 18 Новопилипівського водозабору  </t>
  </si>
  <si>
    <t>Секретар Мелітопольської міської ради Запорізької області</t>
  </si>
  <si>
    <t>Придбання лічильників електрообліку</t>
  </si>
  <si>
    <t>лічильник - 25 один.</t>
  </si>
  <si>
    <t>2.1.1</t>
  </si>
  <si>
    <t>насосний агрегат -2 один.</t>
  </si>
  <si>
    <t>2.1.2</t>
  </si>
  <si>
    <t>Технічне  переоснащення насосного обладнання  КНС №1  за адресою: вул. Гетьманська, 2</t>
  </si>
  <si>
    <t>2.1.3</t>
  </si>
  <si>
    <t>Технічне  переоснащення насосного обладнання  КНС №3 за адресою:  вул. Героїв України, 188В</t>
  </si>
  <si>
    <t>насосний агрегат -1один.</t>
  </si>
  <si>
    <t>2.1.4</t>
  </si>
  <si>
    <t>лічильник -6 один.</t>
  </si>
  <si>
    <t>2.5.1.</t>
  </si>
  <si>
    <t xml:space="preserve">Реконструкція каналізаційних колекторів (проектні роботи -напірний колектор від каналізаційної насосної станції № 5 до камери переключень у точці «А»,  напірний колектор від каналізаційної насосної станції № 4 до камери переключень у точці «А») </t>
  </si>
  <si>
    <t>Технічне  переоснащення насосного обладнання  КНС №5 за адресою Каховське шосе, 23</t>
  </si>
  <si>
    <t>Технічне  переоснащення насосного обладнання та системи електропостачання артезіанської свердловини № 24 Мелітопольського водозабору (з кожухом)</t>
  </si>
  <si>
    <t>Технічне  переоснащення насосного обладнання та системи електропостачання артезіанської свердловини № 25 Мелітопольського водозабору (з кожухом)</t>
  </si>
  <si>
    <t>Технічне  переоснащення насосного обладнання та системи електропостачання артезіанської свердловини № 32 Мелітопольського водозабору (з кожухом)</t>
  </si>
  <si>
    <t>1.1.25</t>
  </si>
  <si>
    <t>1.1.26</t>
  </si>
  <si>
    <t xml:space="preserve">Реконструкція водопровідної мережі по вул. Пасова від вул. Монастирській до   вул. Іллі Стамболі                                                                                            </t>
  </si>
  <si>
    <t xml:space="preserve">насосний агрегат - 1 один.                         </t>
  </si>
  <si>
    <t>1.4.1</t>
  </si>
  <si>
    <t>1.4.2</t>
  </si>
  <si>
    <t>Технічне переоснащення насосного обладнання на ВНС №1</t>
  </si>
  <si>
    <t xml:space="preserve">                                   Річний  інвестиційний план на 2020 рік (зі змінами)</t>
  </si>
  <si>
    <t>2.1.5</t>
  </si>
  <si>
    <t>Технічне переоснащення електропостачання насосних агрегатів №1 та №3 на КНС №1, придбання автоматизованої системи керування на базі  частотного перетворювача (шафа керування  та шафа Agua Star grand 2-3-55,0 DOA оператора)</t>
  </si>
  <si>
    <t>2.5.2.</t>
  </si>
  <si>
    <t>Реконструкція каналізаційних колекторів ( проектні роботи переходу каналізаційного колектору через канал до ЦОС)</t>
  </si>
  <si>
    <t>Технічне  переоснащення насосного обладнання  КНС №2  за адресою: вул. Івана Алексєєва, 11</t>
  </si>
  <si>
    <t>ІП 2020</t>
  </si>
  <si>
    <t>дови. ІП 2019</t>
  </si>
  <si>
    <t>водопостачання</t>
  </si>
  <si>
    <t>водовідведення</t>
  </si>
  <si>
    <t xml:space="preserve">Реконструкція ділянки збірного водогону від акведука  (р. Юшанли) до камери переключення свердловин №№ 17, 18 Новопилипівського водозабору                    </t>
  </si>
  <si>
    <t>проектні роботи з експертизою   - 1 компл.</t>
  </si>
  <si>
    <t>проектні роботи  - 2 компл.</t>
  </si>
  <si>
    <t>х</t>
  </si>
  <si>
    <t>Додаток  4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</si>
  <si>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______________________________ Роман РОМАНОВ</t>
  </si>
  <si>
    <t>Головний інженер                                                                                                                             ____________                                        Олександр МАРИНОВ</t>
  </si>
  <si>
    <t>Директор КП "Водоканал" Мелітопольської міської ради Запорізької області</t>
  </si>
  <si>
    <t>___________________________Сергій НЕМЧЕНКО</t>
  </si>
  <si>
    <t xml:space="preserve">                 (підпис)                                                                                        (ПІБ)</t>
  </si>
  <si>
    <t>"________"_______________________ 20____ року</t>
  </si>
  <si>
    <t>господарський  (вартість    матеріальних ресурсів)</t>
  </si>
  <si>
    <t xml:space="preserve"> За способом виконання,тис. грн (без ПДВ)</t>
  </si>
  <si>
    <t>Кількісний показник    (одиниця виміру)</t>
  </si>
  <si>
    <t xml:space="preserve"> Сума позичкових коштів та відсотків за їх  використання, що підлягає поверненню у планованому періоді, тис. грн (без ПДВ)</t>
  </si>
  <si>
    <t xml:space="preserve"> Сума інших залучених коштів, що підлягає поверненню у планованому періоді, тис. грн   без ПДВ)</t>
  </si>
  <si>
    <t>Кошти, що враховуються    у структурі тарифів  гр.5 + гр.6. + гр. 11 + гр. 12  тис. грн  (без ПДВ)</t>
  </si>
  <si>
    <t xml:space="preserve">насосний агрегат - 1 один.                провод  ВПП 16- 396 п.м             </t>
  </si>
  <si>
    <t xml:space="preserve">насосний агрегат - 1 один.                провод  ВПП 2,5- 123 п.м            </t>
  </si>
  <si>
    <t xml:space="preserve">насосний агрегат - 1 один.                провод  ВПП 2,5- 189 п.м           </t>
  </si>
  <si>
    <t xml:space="preserve">насосний агрегат - 1 один.                провод  ВПП 2,5-189 п.м             </t>
  </si>
  <si>
    <t xml:space="preserve">насосний агрегат - 1 один.                провод  ВПП 10- 411 п.м             </t>
  </si>
  <si>
    <t xml:space="preserve">насосний агрегат - 1 один.                провод  ВПП 10- 363 п.м            </t>
  </si>
  <si>
    <t xml:space="preserve">насосний агрегат - 1 один.                провод  ВПП 2,5- 123 п.м             </t>
  </si>
  <si>
    <t xml:space="preserve">насосний агрегат - 1 один.                провод  ВПП 2,5- 153 п.м             </t>
  </si>
  <si>
    <t xml:space="preserve">насосний агрегат - 1 один.                провод ВПП 10- 333 п.м             </t>
  </si>
  <si>
    <t xml:space="preserve">насосний агрегат - 1 один.                провод  ВПП 10- 363 п.м             </t>
  </si>
  <si>
    <t xml:space="preserve">насосний агрегат - 1 один.                провод  ВПП 2,5- 234 п.м            </t>
  </si>
  <si>
    <t xml:space="preserve">насосний агрегат - 1 один.                провод  ВПП 2,5- 123 п.м           </t>
  </si>
  <si>
    <t xml:space="preserve">насосний агрегат - 1 один.                провод  ВПП 2,5-123 п.м             </t>
  </si>
  <si>
    <t>насосний агрегат - 1 один.                провод  ВПП 16-483 п.м</t>
  </si>
  <si>
    <t xml:space="preserve">насосний агрегат - 1 один.                провод  ВПП 10- 423 п.м             </t>
  </si>
  <si>
    <t xml:space="preserve">насосний агрегат - 1 один.                провод  ВПП 10- 423 п.м            </t>
  </si>
  <si>
    <t xml:space="preserve">насосний агрегат - 1 один.                провод  ВПП 35- 201 п.м             </t>
  </si>
  <si>
    <t xml:space="preserve">насосний агрегат - 1 один.                провод  ВПП 25- 393 п.м           </t>
  </si>
  <si>
    <t xml:space="preserve">насосний агрегат - 1 один.                провод  ВПП 16- 393 п.м            </t>
  </si>
  <si>
    <t xml:space="preserve">насосний агрегат - 1 один.                станція керування - 1 один.                        </t>
  </si>
  <si>
    <t xml:space="preserve">насосний агрегат - 1 один.                провод ВПП35-423 п.м        </t>
  </si>
  <si>
    <t>насосний агрегат - 1 один.                станція керування - 1 один.</t>
  </si>
  <si>
    <t>проект - 1 компл.                             трансформатор - 1 один.                 провід багатодотяний - 15м              кабель ААШВ - 5 м                                кабель ВВГ - 120м                   накінечники - 8 один.                           муфта - 2 один.</t>
  </si>
  <si>
    <t xml:space="preserve">кошторис з експертизою - 1 компл.  щит керування з допоміжними матеріалами - 1 один.                       кабель багатодротовий АВВГ - 50м </t>
  </si>
  <si>
    <t xml:space="preserve">Виконання проектно-кошторисної документації та Технічне переоснащення трансформаторної підстанції артезіанської свердловини №8, №13 Новопилипівського водозабору                                </t>
  </si>
  <si>
    <t>проект з експертизою - 1 компл.    труба ПЕ 100SDR 17 110х6,6 - 150м   труба ПЕ 100SDR 17 63х3,8 - 330 м труба ПЕ 100SDR 17 32х2,0 - 350 м      допоміжні матеріали</t>
  </si>
  <si>
    <t>проект з експертизою - 1компл.       труба ПЕ 100SDR 17 225х13,4 - 255м    допоміжні матеріали</t>
  </si>
  <si>
    <t>2.5.3</t>
  </si>
  <si>
    <t>2.5.4</t>
  </si>
  <si>
    <t>Реконструкція каналізаційного колектора від КНС № 1 до КНС № 4 (проектні роботи)</t>
  </si>
  <si>
    <t>Реконструкція коаналізаційного колектора від точки "А" до переходу каналізаційного колектора через канал</t>
  </si>
  <si>
    <t xml:space="preserve">проектні роботи - 1 компл.                                 </t>
  </si>
  <si>
    <t>проектні роботи - 1 компл.</t>
  </si>
  <si>
    <t>від 02.07.2020 № 119/1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</si>
</sst>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0" x14ac:knownFonts="1"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Calibri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2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top" wrapText="1"/>
    </xf>
    <xf numFmtId="0" fontId="10" fillId="0" borderId="0" xfId="0" applyFont="1" applyFill="1"/>
    <xf numFmtId="0" fontId="13" fillId="0" borderId="0" xfId="0" applyFont="1" applyFill="1" applyAlignment="1">
      <alignment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4" fontId="7" fillId="2" borderId="1" xfId="1" applyNumberFormat="1" applyFont="1" applyFill="1" applyBorder="1" applyAlignment="1" applyProtection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3" fontId="7" fillId="2" borderId="1" xfId="2" applyNumberFormat="1" applyFont="1" applyFill="1" applyBorder="1" applyAlignment="1">
      <alignment horizontal="center" wrapText="1"/>
    </xf>
    <xf numFmtId="1" fontId="7" fillId="2" borderId="1" xfId="1" applyNumberFormat="1" applyFont="1" applyFill="1" applyBorder="1" applyAlignment="1" applyProtection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wrapText="1"/>
    </xf>
    <xf numFmtId="4" fontId="8" fillId="2" borderId="1" xfId="2" applyNumberFormat="1" applyFont="1" applyFill="1" applyBorder="1" applyAlignment="1">
      <alignment horizontal="center" wrapText="1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 applyProtection="1">
      <alignment horizont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/>
    <xf numFmtId="2" fontId="8" fillId="2" borderId="1" xfId="0" applyNumberFormat="1" applyFont="1" applyFill="1" applyBorder="1" applyAlignment="1"/>
    <xf numFmtId="1" fontId="7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2" borderId="8" xfId="0" applyFont="1" applyFill="1" applyBorder="1" applyAlignment="1"/>
    <xf numFmtId="0" fontId="7" fillId="2" borderId="3" xfId="0" applyFont="1" applyFill="1" applyBorder="1" applyAlignment="1"/>
    <xf numFmtId="0" fontId="17" fillId="0" borderId="0" xfId="0" applyFont="1" applyFill="1"/>
    <xf numFmtId="0" fontId="13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vertical="center" wrapText="1"/>
    </xf>
    <xf numFmtId="4" fontId="7" fillId="2" borderId="1" xfId="2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2" fontId="8" fillId="2" borderId="1" xfId="1" applyNumberFormat="1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tabSelected="1" view="pageBreakPreview" zoomScale="91" zoomScaleNormal="91" zoomScaleSheetLayoutView="91" zoomScalePageLayoutView="91" workbookViewId="0">
      <selection activeCell="B8" sqref="B8:E8"/>
    </sheetView>
  </sheetViews>
  <sheetFormatPr defaultColWidth="9.140625" defaultRowHeight="12.75" x14ac:dyDescent="0.2"/>
  <cols>
    <col min="1" max="1" width="8.5703125" style="9" customWidth="1"/>
    <col min="2" max="2" width="61.5703125" style="8" customWidth="1"/>
    <col min="3" max="3" width="32.28515625" style="10" customWidth="1"/>
    <col min="4" max="4" width="10" style="10" customWidth="1"/>
    <col min="5" max="5" width="9.85546875" style="10" customWidth="1"/>
    <col min="6" max="6" width="12.42578125" style="10" customWidth="1"/>
    <col min="7" max="7" width="13.140625" style="10" customWidth="1"/>
    <col min="8" max="8" width="12.85546875" style="10" customWidth="1"/>
    <col min="9" max="9" width="13.5703125" style="10" customWidth="1"/>
    <col min="10" max="10" width="15.28515625" style="10" customWidth="1"/>
    <col min="11" max="11" width="14" style="10" customWidth="1"/>
    <col min="12" max="12" width="15.140625" style="10" customWidth="1"/>
    <col min="13" max="13" width="12.140625" style="10" customWidth="1"/>
    <col min="14" max="14" width="8.7109375" style="10" customWidth="1"/>
    <col min="15" max="15" width="9" style="10" customWidth="1"/>
    <col min="16" max="16" width="8.7109375" style="10" customWidth="1"/>
    <col min="17" max="17" width="8.5703125" style="10" customWidth="1"/>
    <col min="18" max="18" width="9.28515625" style="10" customWidth="1"/>
    <col min="19" max="20" width="6.85546875" style="10" customWidth="1"/>
    <col min="21" max="21" width="9.5703125" style="10" customWidth="1"/>
    <col min="22" max="22" width="8.5703125" style="10" customWidth="1"/>
    <col min="23" max="23" width="11.140625" style="10" customWidth="1"/>
    <col min="24" max="28" width="9.140625" style="11"/>
    <col min="29" max="16384" width="9.140625" style="10"/>
  </cols>
  <sheetData>
    <row r="1" spans="1:23" ht="69.75" customHeight="1" x14ac:dyDescent="0.2">
      <c r="M1" s="84"/>
      <c r="N1" s="84"/>
      <c r="O1" s="84"/>
      <c r="P1" s="115" t="s">
        <v>165</v>
      </c>
      <c r="Q1" s="115"/>
      <c r="R1" s="116"/>
      <c r="S1" s="116"/>
      <c r="T1" s="116"/>
      <c r="U1" s="116"/>
      <c r="V1" s="116"/>
      <c r="W1" s="116"/>
    </row>
    <row r="2" spans="1:23" ht="22.5" hidden="1" customHeight="1" x14ac:dyDescent="0.2">
      <c r="M2" s="84"/>
      <c r="N2" s="84"/>
      <c r="O2" s="84"/>
      <c r="P2" s="80"/>
      <c r="Q2" s="80"/>
      <c r="R2" s="81"/>
      <c r="S2" s="81"/>
      <c r="T2" s="81"/>
      <c r="U2" s="81"/>
      <c r="V2" s="81"/>
      <c r="W2" s="81"/>
    </row>
    <row r="3" spans="1:23" ht="9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8"/>
      <c r="O3" s="18"/>
      <c r="P3" s="19"/>
      <c r="Q3" s="19"/>
      <c r="R3" s="20"/>
      <c r="S3" s="20"/>
      <c r="T3" s="81"/>
      <c r="U3" s="81"/>
      <c r="V3" s="81"/>
      <c r="W3" s="81"/>
    </row>
    <row r="4" spans="1:23" ht="8.25" customHeight="1" x14ac:dyDescent="0.3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9"/>
      <c r="Q4" s="19"/>
      <c r="R4" s="20"/>
      <c r="S4" s="20"/>
      <c r="T4" s="81"/>
      <c r="U4" s="81"/>
      <c r="V4" s="81"/>
      <c r="W4" s="81"/>
    </row>
    <row r="5" spans="1:23" ht="16.5" customHeight="1" x14ac:dyDescent="0.3">
      <c r="B5" s="122" t="s">
        <v>11</v>
      </c>
      <c r="C5" s="122"/>
      <c r="D5" s="122"/>
      <c r="E5" s="122"/>
      <c r="F5" s="17"/>
      <c r="G5" s="17"/>
      <c r="H5" s="17"/>
      <c r="I5" s="17"/>
      <c r="J5" s="17"/>
      <c r="K5" s="17"/>
      <c r="L5" s="23"/>
      <c r="M5" s="23"/>
      <c r="N5" s="144" t="s">
        <v>12</v>
      </c>
      <c r="O5" s="144"/>
      <c r="P5" s="144"/>
      <c r="Q5" s="144"/>
      <c r="R5" s="144"/>
      <c r="S5" s="144"/>
      <c r="T5" s="144"/>
      <c r="U5" s="144"/>
      <c r="V5" s="144"/>
      <c r="W5" s="144"/>
    </row>
    <row r="6" spans="1:23" ht="24" customHeight="1" x14ac:dyDescent="0.3">
      <c r="B6" s="117" t="s">
        <v>82</v>
      </c>
      <c r="C6" s="117"/>
      <c r="D6" s="117"/>
      <c r="E6" s="117"/>
      <c r="F6" s="17"/>
      <c r="G6" s="17"/>
      <c r="H6" s="17"/>
      <c r="I6" s="17"/>
      <c r="J6" s="17"/>
      <c r="K6" s="17"/>
      <c r="L6" s="66"/>
      <c r="M6" s="66"/>
      <c r="N6" s="105" t="s">
        <v>168</v>
      </c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1.25" customHeight="1" x14ac:dyDescent="0.3">
      <c r="B7" s="123" t="s">
        <v>81</v>
      </c>
      <c r="C7" s="123"/>
      <c r="D7" s="123"/>
      <c r="E7" s="123"/>
      <c r="F7" s="17"/>
      <c r="G7" s="17"/>
      <c r="H7" s="17"/>
      <c r="I7" s="17"/>
      <c r="J7" s="17"/>
      <c r="K7" s="17"/>
      <c r="L7" s="102"/>
      <c r="M7" s="102"/>
      <c r="N7" s="102"/>
      <c r="O7" s="102"/>
      <c r="P7" s="19"/>
      <c r="Q7" s="19"/>
      <c r="R7" s="102" t="s">
        <v>13</v>
      </c>
      <c r="S7" s="102"/>
      <c r="T7" s="102"/>
      <c r="U7" s="102"/>
      <c r="V7" s="102"/>
      <c r="W7" s="89"/>
    </row>
    <row r="8" spans="1:23" ht="21.75" customHeight="1" x14ac:dyDescent="0.3">
      <c r="B8" s="105" t="s">
        <v>211</v>
      </c>
      <c r="C8" s="105"/>
      <c r="D8" s="105"/>
      <c r="E8" s="105"/>
      <c r="F8" s="17"/>
      <c r="G8" s="17"/>
      <c r="H8" s="17"/>
      <c r="I8" s="17"/>
      <c r="J8" s="17"/>
      <c r="K8" s="17"/>
      <c r="L8" s="17"/>
      <c r="M8" s="17"/>
      <c r="N8" s="105" t="s">
        <v>169</v>
      </c>
      <c r="O8" s="105"/>
      <c r="P8" s="105"/>
      <c r="Q8" s="105"/>
      <c r="R8" s="105"/>
      <c r="S8" s="105"/>
      <c r="T8" s="105"/>
      <c r="U8" s="105"/>
      <c r="V8" s="105"/>
      <c r="W8" s="105"/>
    </row>
    <row r="9" spans="1:23" ht="17.25" customHeight="1" x14ac:dyDescent="0.3">
      <c r="B9" s="75" t="s">
        <v>126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24"/>
      <c r="N9" s="123" t="s">
        <v>170</v>
      </c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24" customHeight="1" x14ac:dyDescent="0.3">
      <c r="B10" s="85" t="s">
        <v>166</v>
      </c>
      <c r="C10" s="17"/>
      <c r="D10" s="17"/>
      <c r="E10" s="17"/>
      <c r="F10" s="17"/>
      <c r="G10" s="17"/>
      <c r="H10" s="17"/>
      <c r="I10" s="17"/>
      <c r="J10" s="17"/>
      <c r="K10" s="17"/>
      <c r="L10" s="75"/>
      <c r="M10" s="75"/>
      <c r="N10" s="105" t="s">
        <v>171</v>
      </c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ht="11.25" customHeight="1" x14ac:dyDescent="0.3">
      <c r="B11" s="15" t="s">
        <v>87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25"/>
      <c r="P11" s="19"/>
      <c r="Q11" s="19"/>
      <c r="R11" s="19"/>
      <c r="S11" s="19"/>
      <c r="T11" s="80"/>
      <c r="U11" s="80"/>
      <c r="V11" s="81"/>
      <c r="W11" s="81"/>
    </row>
    <row r="12" spans="1:23" ht="15.75" customHeight="1" x14ac:dyDescent="0.3">
      <c r="B12" s="21" t="s">
        <v>78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9"/>
      <c r="Q12" s="19"/>
      <c r="R12" s="20"/>
      <c r="S12" s="20"/>
      <c r="T12" s="81"/>
      <c r="U12" s="81"/>
      <c r="V12" s="81"/>
      <c r="W12" s="81"/>
    </row>
    <row r="13" spans="1:23" ht="18.75" customHeight="1" x14ac:dyDescent="0.2">
      <c r="B13" s="15"/>
      <c r="M13" s="84"/>
      <c r="N13" s="84"/>
      <c r="O13" s="84"/>
      <c r="P13" s="80"/>
      <c r="Q13" s="80"/>
      <c r="R13" s="81"/>
      <c r="S13" s="81"/>
      <c r="T13" s="81"/>
      <c r="U13" s="81"/>
      <c r="V13" s="81"/>
      <c r="W13" s="81"/>
    </row>
    <row r="14" spans="1:23" ht="17.25" customHeight="1" x14ac:dyDescent="0.3">
      <c r="A14" s="127" t="s">
        <v>151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"/>
      <c r="V14" s="12"/>
      <c r="W14" s="8"/>
    </row>
    <row r="15" spans="1:23" ht="19.5" customHeight="1" x14ac:dyDescent="0.3">
      <c r="A15" s="114" t="s">
        <v>76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3" ht="17.25" customHeight="1" x14ac:dyDescent="0.2">
      <c r="A16" s="124" t="s">
        <v>14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28" ht="46.5" customHeight="1" x14ac:dyDescent="0.2">
      <c r="A17" s="112" t="s">
        <v>0</v>
      </c>
      <c r="B17" s="109" t="s">
        <v>64</v>
      </c>
      <c r="C17" s="112" t="s">
        <v>174</v>
      </c>
      <c r="D17" s="112" t="s">
        <v>63</v>
      </c>
      <c r="E17" s="112"/>
      <c r="F17" s="112"/>
      <c r="G17" s="112"/>
      <c r="H17" s="112"/>
      <c r="I17" s="112"/>
      <c r="J17" s="108" t="s">
        <v>175</v>
      </c>
      <c r="K17" s="108" t="s">
        <v>176</v>
      </c>
      <c r="L17" s="109" t="s">
        <v>177</v>
      </c>
      <c r="M17" s="118" t="s">
        <v>173</v>
      </c>
      <c r="N17" s="119"/>
      <c r="O17" s="118" t="s">
        <v>77</v>
      </c>
      <c r="P17" s="120"/>
      <c r="Q17" s="120"/>
      <c r="R17" s="119"/>
      <c r="S17" s="107" t="s">
        <v>29</v>
      </c>
      <c r="T17" s="107" t="s">
        <v>34</v>
      </c>
      <c r="U17" s="107" t="s">
        <v>33</v>
      </c>
      <c r="V17" s="107" t="s">
        <v>68</v>
      </c>
      <c r="W17" s="107" t="s">
        <v>69</v>
      </c>
      <c r="X17" s="106"/>
    </row>
    <row r="18" spans="1:28" ht="15.75" customHeight="1" x14ac:dyDescent="0.2">
      <c r="A18" s="112"/>
      <c r="B18" s="110"/>
      <c r="C18" s="121"/>
      <c r="D18" s="112" t="s">
        <v>5</v>
      </c>
      <c r="E18" s="113" t="s">
        <v>15</v>
      </c>
      <c r="F18" s="113"/>
      <c r="G18" s="113"/>
      <c r="H18" s="113"/>
      <c r="I18" s="113"/>
      <c r="J18" s="108"/>
      <c r="K18" s="108"/>
      <c r="L18" s="110"/>
      <c r="M18" s="112" t="s">
        <v>172</v>
      </c>
      <c r="N18" s="112" t="s">
        <v>67</v>
      </c>
      <c r="O18" s="112" t="s">
        <v>1</v>
      </c>
      <c r="P18" s="112" t="s">
        <v>2</v>
      </c>
      <c r="Q18" s="112" t="s">
        <v>3</v>
      </c>
      <c r="R18" s="112" t="s">
        <v>4</v>
      </c>
      <c r="S18" s="107"/>
      <c r="T18" s="107"/>
      <c r="U18" s="107"/>
      <c r="V18" s="107"/>
      <c r="W18" s="107"/>
      <c r="X18" s="106"/>
    </row>
    <row r="19" spans="1:28" ht="67.5" customHeight="1" x14ac:dyDescent="0.2">
      <c r="A19" s="112"/>
      <c r="B19" s="110"/>
      <c r="C19" s="121"/>
      <c r="D19" s="112"/>
      <c r="E19" s="108" t="s">
        <v>65</v>
      </c>
      <c r="F19" s="108" t="s">
        <v>8</v>
      </c>
      <c r="G19" s="108" t="s">
        <v>66</v>
      </c>
      <c r="H19" s="108" t="s">
        <v>24</v>
      </c>
      <c r="I19" s="108"/>
      <c r="J19" s="108"/>
      <c r="K19" s="108"/>
      <c r="L19" s="110"/>
      <c r="M19" s="112"/>
      <c r="N19" s="112"/>
      <c r="O19" s="112"/>
      <c r="P19" s="112"/>
      <c r="Q19" s="112"/>
      <c r="R19" s="112"/>
      <c r="S19" s="107"/>
      <c r="T19" s="107"/>
      <c r="U19" s="107"/>
      <c r="V19" s="107"/>
      <c r="W19" s="107"/>
      <c r="X19" s="106"/>
    </row>
    <row r="20" spans="1:28" ht="78.75" customHeight="1" x14ac:dyDescent="0.2">
      <c r="A20" s="112"/>
      <c r="B20" s="111"/>
      <c r="C20" s="121"/>
      <c r="D20" s="112"/>
      <c r="E20" s="108"/>
      <c r="F20" s="108"/>
      <c r="G20" s="108"/>
      <c r="H20" s="88" t="s">
        <v>10</v>
      </c>
      <c r="I20" s="88" t="s">
        <v>9</v>
      </c>
      <c r="J20" s="108"/>
      <c r="K20" s="108"/>
      <c r="L20" s="111"/>
      <c r="M20" s="112"/>
      <c r="N20" s="112"/>
      <c r="O20" s="112"/>
      <c r="P20" s="112"/>
      <c r="Q20" s="112"/>
      <c r="R20" s="112"/>
      <c r="S20" s="107"/>
      <c r="T20" s="107"/>
      <c r="U20" s="107"/>
      <c r="V20" s="107"/>
      <c r="W20" s="107"/>
      <c r="X20" s="106"/>
    </row>
    <row r="21" spans="1:28" s="8" customFormat="1" ht="15.75" customHeight="1" x14ac:dyDescent="0.2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52">
        <v>7</v>
      </c>
      <c r="H21" s="28">
        <v>9</v>
      </c>
      <c r="I21" s="28">
        <v>10</v>
      </c>
      <c r="J21" s="29">
        <v>11</v>
      </c>
      <c r="K21" s="29">
        <v>12</v>
      </c>
      <c r="L21" s="29">
        <v>13</v>
      </c>
      <c r="M21" s="28">
        <v>14</v>
      </c>
      <c r="N21" s="28">
        <v>15</v>
      </c>
      <c r="O21" s="28">
        <v>16</v>
      </c>
      <c r="P21" s="28">
        <v>17</v>
      </c>
      <c r="Q21" s="28">
        <v>18</v>
      </c>
      <c r="R21" s="28">
        <v>19</v>
      </c>
      <c r="S21" s="28">
        <v>20</v>
      </c>
      <c r="T21" s="28">
        <v>21</v>
      </c>
      <c r="U21" s="28">
        <v>22</v>
      </c>
      <c r="V21" s="28">
        <v>23</v>
      </c>
      <c r="W21" s="28">
        <v>24</v>
      </c>
      <c r="X21" s="3"/>
      <c r="Y21" s="3"/>
      <c r="Z21" s="3"/>
      <c r="AA21" s="3"/>
      <c r="AB21" s="3"/>
    </row>
    <row r="22" spans="1:28" ht="18.75" customHeight="1" x14ac:dyDescent="0.25">
      <c r="A22" s="53" t="s">
        <v>16</v>
      </c>
      <c r="B22" s="54"/>
      <c r="C22" s="125" t="s">
        <v>6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3"/>
      <c r="Y22" s="13"/>
      <c r="Z22" s="13"/>
    </row>
    <row r="23" spans="1:28" ht="16.5" customHeight="1" x14ac:dyDescent="0.25">
      <c r="A23" s="125" t="s">
        <v>79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4"/>
      <c r="Y23" s="14"/>
      <c r="Z23" s="14"/>
    </row>
    <row r="24" spans="1:28" ht="19.5" customHeight="1" x14ac:dyDescent="0.25">
      <c r="A24" s="40" t="s">
        <v>45</v>
      </c>
      <c r="B24" s="35"/>
      <c r="C24" s="126" t="s">
        <v>20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4"/>
      <c r="Y24" s="14"/>
      <c r="Z24" s="14"/>
    </row>
    <row r="25" spans="1:28" ht="49.5" customHeight="1" x14ac:dyDescent="0.25">
      <c r="A25" s="31" t="s">
        <v>72</v>
      </c>
      <c r="B25" s="26" t="s">
        <v>88</v>
      </c>
      <c r="C25" s="67" t="s">
        <v>178</v>
      </c>
      <c r="D25" s="33">
        <v>98.05</v>
      </c>
      <c r="E25" s="50">
        <f>D25</f>
        <v>98.05</v>
      </c>
      <c r="F25" s="42"/>
      <c r="G25" s="42"/>
      <c r="H25" s="42"/>
      <c r="I25" s="42"/>
      <c r="J25" s="42"/>
      <c r="K25" s="42"/>
      <c r="L25" s="30">
        <f t="shared" ref="L25:L48" si="0">E25+F25+J25+K25</f>
        <v>98.05</v>
      </c>
      <c r="M25" s="30">
        <f>L25</f>
        <v>98.05</v>
      </c>
      <c r="N25" s="42"/>
      <c r="O25" s="55">
        <f t="shared" ref="O25:O30" si="1">M25</f>
        <v>98.05</v>
      </c>
      <c r="P25" s="55">
        <v>0</v>
      </c>
      <c r="Q25" s="55">
        <v>0</v>
      </c>
      <c r="R25" s="55">
        <v>0</v>
      </c>
      <c r="S25" s="37">
        <f t="shared" ref="S25:S48" si="2">D25/W25*12</f>
        <v>16.078381385000466</v>
      </c>
      <c r="T25" s="42"/>
      <c r="U25" s="64">
        <f>2944*10</f>
        <v>29440</v>
      </c>
      <c r="V25" s="42"/>
      <c r="W25" s="38">
        <f>U25*2.4857/1000</f>
        <v>73.179007999999996</v>
      </c>
      <c r="X25" s="14"/>
      <c r="Y25" s="14"/>
      <c r="Z25" s="14"/>
    </row>
    <row r="26" spans="1:28" ht="48" customHeight="1" x14ac:dyDescent="0.25">
      <c r="A26" s="31" t="s">
        <v>73</v>
      </c>
      <c r="B26" s="26" t="s">
        <v>89</v>
      </c>
      <c r="C26" s="67" t="s">
        <v>179</v>
      </c>
      <c r="D26" s="33">
        <v>28.21</v>
      </c>
      <c r="E26" s="50">
        <f t="shared" ref="E26:E48" si="3">D26</f>
        <v>28.21</v>
      </c>
      <c r="F26" s="42"/>
      <c r="G26" s="42"/>
      <c r="H26" s="42"/>
      <c r="I26" s="42"/>
      <c r="J26" s="42"/>
      <c r="K26" s="42"/>
      <c r="L26" s="30">
        <f t="shared" si="0"/>
        <v>28.21</v>
      </c>
      <c r="M26" s="30">
        <f t="shared" ref="M26:M48" si="4">L26</f>
        <v>28.21</v>
      </c>
      <c r="N26" s="42"/>
      <c r="O26" s="55">
        <f t="shared" si="1"/>
        <v>28.21</v>
      </c>
      <c r="P26" s="55">
        <v>0</v>
      </c>
      <c r="Q26" s="55">
        <v>0</v>
      </c>
      <c r="R26" s="55">
        <v>0</v>
      </c>
      <c r="S26" s="37">
        <f t="shared" si="2"/>
        <v>11.596056758022</v>
      </c>
      <c r="T26" s="42"/>
      <c r="U26" s="64">
        <f>7829.5*1.5</f>
        <v>11744.25</v>
      </c>
      <c r="V26" s="42"/>
      <c r="W26" s="38">
        <f t="shared" ref="W26:W48" si="5">U26*2.4857/1000</f>
        <v>29.192682225000002</v>
      </c>
      <c r="X26" s="14"/>
      <c r="Y26" s="14"/>
      <c r="Z26" s="14"/>
    </row>
    <row r="27" spans="1:28" ht="54" customHeight="1" x14ac:dyDescent="0.25">
      <c r="A27" s="31" t="s">
        <v>74</v>
      </c>
      <c r="B27" s="26" t="s">
        <v>90</v>
      </c>
      <c r="C27" s="67" t="s">
        <v>180</v>
      </c>
      <c r="D27" s="33">
        <v>28.52</v>
      </c>
      <c r="E27" s="50">
        <f t="shared" si="3"/>
        <v>28.52</v>
      </c>
      <c r="F27" s="42"/>
      <c r="G27" s="42"/>
      <c r="H27" s="42"/>
      <c r="I27" s="42"/>
      <c r="J27" s="42"/>
      <c r="K27" s="42"/>
      <c r="L27" s="30">
        <f t="shared" si="0"/>
        <v>28.52</v>
      </c>
      <c r="M27" s="30">
        <f t="shared" si="4"/>
        <v>28.52</v>
      </c>
      <c r="N27" s="42"/>
      <c r="O27" s="55">
        <f t="shared" si="1"/>
        <v>28.52</v>
      </c>
      <c r="P27" s="55">
        <v>0</v>
      </c>
      <c r="Q27" s="55">
        <v>0</v>
      </c>
      <c r="R27" s="55">
        <v>0</v>
      </c>
      <c r="S27" s="37">
        <f t="shared" si="2"/>
        <v>17.046900040914878</v>
      </c>
      <c r="T27" s="42"/>
      <c r="U27" s="64">
        <f>5384.5*1.5</f>
        <v>8076.75</v>
      </c>
      <c r="V27" s="42"/>
      <c r="W27" s="38">
        <f t="shared" si="5"/>
        <v>20.076377475000001</v>
      </c>
      <c r="X27" s="14"/>
      <c r="Y27" s="14"/>
      <c r="Z27" s="14"/>
    </row>
    <row r="28" spans="1:28" ht="52.5" customHeight="1" x14ac:dyDescent="0.25">
      <c r="A28" s="31" t="s">
        <v>75</v>
      </c>
      <c r="B28" s="26" t="s">
        <v>91</v>
      </c>
      <c r="C28" s="67" t="s">
        <v>181</v>
      </c>
      <c r="D28" s="33">
        <v>28.52</v>
      </c>
      <c r="E28" s="50">
        <f t="shared" si="3"/>
        <v>28.52</v>
      </c>
      <c r="F28" s="42"/>
      <c r="G28" s="42"/>
      <c r="H28" s="42"/>
      <c r="I28" s="42"/>
      <c r="J28" s="42"/>
      <c r="K28" s="42"/>
      <c r="L28" s="30">
        <f t="shared" si="0"/>
        <v>28.52</v>
      </c>
      <c r="M28" s="30">
        <f t="shared" si="4"/>
        <v>28.52</v>
      </c>
      <c r="N28" s="42"/>
      <c r="O28" s="55">
        <f t="shared" si="1"/>
        <v>28.52</v>
      </c>
      <c r="P28" s="55">
        <v>0</v>
      </c>
      <c r="Q28" s="55">
        <v>0</v>
      </c>
      <c r="R28" s="55">
        <v>0</v>
      </c>
      <c r="S28" s="37">
        <f t="shared" si="2"/>
        <v>22.216878438897773</v>
      </c>
      <c r="T28" s="42"/>
      <c r="U28" s="64">
        <f>4131.5*1.5</f>
        <v>6197.25</v>
      </c>
      <c r="V28" s="42"/>
      <c r="W28" s="38">
        <f t="shared" si="5"/>
        <v>15.404504325</v>
      </c>
      <c r="X28" s="14"/>
      <c r="Y28" s="14"/>
      <c r="Z28" s="14"/>
    </row>
    <row r="29" spans="1:28" ht="51" customHeight="1" x14ac:dyDescent="0.25">
      <c r="A29" s="31" t="s">
        <v>83</v>
      </c>
      <c r="B29" s="26" t="s">
        <v>92</v>
      </c>
      <c r="C29" s="67" t="s">
        <v>182</v>
      </c>
      <c r="D29" s="33">
        <v>68.25</v>
      </c>
      <c r="E29" s="50">
        <f t="shared" si="3"/>
        <v>68.25</v>
      </c>
      <c r="F29" s="42"/>
      <c r="G29" s="42"/>
      <c r="H29" s="42"/>
      <c r="I29" s="42"/>
      <c r="J29" s="42"/>
      <c r="K29" s="42"/>
      <c r="L29" s="30">
        <f t="shared" si="0"/>
        <v>68.25</v>
      </c>
      <c r="M29" s="30">
        <f t="shared" si="4"/>
        <v>68.25</v>
      </c>
      <c r="N29" s="42"/>
      <c r="O29" s="55">
        <f t="shared" si="1"/>
        <v>68.25</v>
      </c>
      <c r="P29" s="55">
        <v>0</v>
      </c>
      <c r="Q29" s="55">
        <v>0</v>
      </c>
      <c r="R29" s="55">
        <v>0</v>
      </c>
      <c r="S29" s="37">
        <f t="shared" si="2"/>
        <v>46.389954552713114</v>
      </c>
      <c r="T29" s="42"/>
      <c r="U29" s="64">
        <f>2367.5*3</f>
        <v>7102.5</v>
      </c>
      <c r="V29" s="42"/>
      <c r="W29" s="38">
        <f t="shared" si="5"/>
        <v>17.654684249999999</v>
      </c>
      <c r="X29" s="14"/>
      <c r="Y29" s="14"/>
      <c r="Z29" s="14"/>
    </row>
    <row r="30" spans="1:28" ht="48.75" customHeight="1" x14ac:dyDescent="0.25">
      <c r="A30" s="31" t="s">
        <v>84</v>
      </c>
      <c r="B30" s="26" t="s">
        <v>93</v>
      </c>
      <c r="C30" s="67" t="s">
        <v>183</v>
      </c>
      <c r="D30" s="33">
        <v>66.47</v>
      </c>
      <c r="E30" s="50">
        <f t="shared" si="3"/>
        <v>66.47</v>
      </c>
      <c r="F30" s="42"/>
      <c r="G30" s="42"/>
      <c r="H30" s="42"/>
      <c r="I30" s="42"/>
      <c r="J30" s="42"/>
      <c r="K30" s="42"/>
      <c r="L30" s="30">
        <f t="shared" si="0"/>
        <v>66.47</v>
      </c>
      <c r="M30" s="30">
        <f t="shared" si="4"/>
        <v>66.47</v>
      </c>
      <c r="N30" s="42"/>
      <c r="O30" s="55">
        <f t="shared" si="1"/>
        <v>66.47</v>
      </c>
      <c r="P30" s="55">
        <v>0</v>
      </c>
      <c r="Q30" s="55">
        <v>0</v>
      </c>
      <c r="R30" s="55">
        <v>0</v>
      </c>
      <c r="S30" s="37">
        <f t="shared" si="2"/>
        <v>130.5232863032065</v>
      </c>
      <c r="T30" s="42"/>
      <c r="U30" s="64">
        <f>819.5*3</f>
        <v>2458.5</v>
      </c>
      <c r="V30" s="42"/>
      <c r="W30" s="38">
        <f t="shared" si="5"/>
        <v>6.1110934500000003</v>
      </c>
      <c r="X30" s="14"/>
      <c r="Y30" s="14"/>
      <c r="Z30" s="14"/>
    </row>
    <row r="31" spans="1:28" ht="52.5" customHeight="1" x14ac:dyDescent="0.25">
      <c r="A31" s="31" t="s">
        <v>85</v>
      </c>
      <c r="B31" s="26" t="s">
        <v>141</v>
      </c>
      <c r="C31" s="67" t="s">
        <v>184</v>
      </c>
      <c r="D31" s="33">
        <v>27.89</v>
      </c>
      <c r="E31" s="50">
        <f t="shared" si="3"/>
        <v>27.89</v>
      </c>
      <c r="F31" s="42"/>
      <c r="G31" s="42"/>
      <c r="H31" s="42"/>
      <c r="I31" s="42"/>
      <c r="J31" s="42"/>
      <c r="K31" s="42"/>
      <c r="L31" s="30">
        <f t="shared" si="0"/>
        <v>27.89</v>
      </c>
      <c r="M31" s="30">
        <f t="shared" si="4"/>
        <v>27.89</v>
      </c>
      <c r="N31" s="42"/>
      <c r="O31" s="55">
        <v>0</v>
      </c>
      <c r="P31" s="55">
        <f>M31</f>
        <v>27.89</v>
      </c>
      <c r="Q31" s="55">
        <v>0</v>
      </c>
      <c r="R31" s="55">
        <v>0</v>
      </c>
      <c r="S31" s="37">
        <f t="shared" si="2"/>
        <v>194.42910197230688</v>
      </c>
      <c r="T31" s="42"/>
      <c r="U31" s="64">
        <f>1385*0.5</f>
        <v>692.5</v>
      </c>
      <c r="V31" s="42"/>
      <c r="W31" s="38">
        <f t="shared" si="5"/>
        <v>1.72134725</v>
      </c>
      <c r="X31" s="14"/>
      <c r="Y31" s="14"/>
      <c r="Z31" s="14"/>
    </row>
    <row r="32" spans="1:28" ht="52.5" customHeight="1" x14ac:dyDescent="0.25">
      <c r="A32" s="31" t="s">
        <v>94</v>
      </c>
      <c r="B32" s="26" t="s">
        <v>142</v>
      </c>
      <c r="C32" s="67" t="s">
        <v>185</v>
      </c>
      <c r="D32" s="33">
        <v>28.18</v>
      </c>
      <c r="E32" s="50">
        <f t="shared" si="3"/>
        <v>28.18</v>
      </c>
      <c r="F32" s="42"/>
      <c r="G32" s="42"/>
      <c r="H32" s="42"/>
      <c r="I32" s="42"/>
      <c r="J32" s="42"/>
      <c r="K32" s="42"/>
      <c r="L32" s="30">
        <f t="shared" si="0"/>
        <v>28.18</v>
      </c>
      <c r="M32" s="30">
        <f t="shared" si="4"/>
        <v>28.18</v>
      </c>
      <c r="N32" s="42"/>
      <c r="O32" s="55">
        <v>0</v>
      </c>
      <c r="P32" s="55">
        <f>M32</f>
        <v>28.18</v>
      </c>
      <c r="Q32" s="55">
        <v>0</v>
      </c>
      <c r="R32" s="55">
        <v>0</v>
      </c>
      <c r="S32" s="37">
        <f t="shared" si="2"/>
        <v>122.42264221538426</v>
      </c>
      <c r="T32" s="42"/>
      <c r="U32" s="64">
        <f>2222.5*0.5</f>
        <v>1111.25</v>
      </c>
      <c r="V32" s="42"/>
      <c r="W32" s="38">
        <f t="shared" si="5"/>
        <v>2.762234125</v>
      </c>
      <c r="X32" s="14"/>
      <c r="Y32" s="14"/>
      <c r="Z32" s="14"/>
    </row>
    <row r="33" spans="1:26" ht="51" customHeight="1" x14ac:dyDescent="0.25">
      <c r="A33" s="31" t="s">
        <v>95</v>
      </c>
      <c r="B33" s="26" t="s">
        <v>143</v>
      </c>
      <c r="C33" s="67" t="s">
        <v>185</v>
      </c>
      <c r="D33" s="33">
        <v>28.18</v>
      </c>
      <c r="E33" s="50">
        <f t="shared" si="3"/>
        <v>28.18</v>
      </c>
      <c r="F33" s="42"/>
      <c r="G33" s="42"/>
      <c r="H33" s="42"/>
      <c r="I33" s="42"/>
      <c r="J33" s="42"/>
      <c r="K33" s="42"/>
      <c r="L33" s="30">
        <f t="shared" si="0"/>
        <v>28.18</v>
      </c>
      <c r="M33" s="30">
        <f t="shared" si="4"/>
        <v>28.18</v>
      </c>
      <c r="N33" s="42"/>
      <c r="O33" s="55">
        <v>0</v>
      </c>
      <c r="P33" s="55">
        <f>M33</f>
        <v>28.18</v>
      </c>
      <c r="Q33" s="55">
        <v>0</v>
      </c>
      <c r="R33" s="55">
        <v>0</v>
      </c>
      <c r="S33" s="37">
        <f t="shared" si="2"/>
        <v>132.14391565016587</v>
      </c>
      <c r="T33" s="42"/>
      <c r="U33" s="64">
        <f>2059*0.5</f>
        <v>1029.5</v>
      </c>
      <c r="V33" s="42"/>
      <c r="W33" s="38">
        <f t="shared" si="5"/>
        <v>2.5590281500000001</v>
      </c>
      <c r="X33" s="14"/>
      <c r="Y33" s="14"/>
      <c r="Z33" s="14"/>
    </row>
    <row r="34" spans="1:26" ht="54" customHeight="1" x14ac:dyDescent="0.25">
      <c r="A34" s="31" t="s">
        <v>96</v>
      </c>
      <c r="B34" s="26" t="s">
        <v>97</v>
      </c>
      <c r="C34" s="67" t="s">
        <v>186</v>
      </c>
      <c r="D34" s="33">
        <v>78.53</v>
      </c>
      <c r="E34" s="50">
        <f t="shared" si="3"/>
        <v>78.53</v>
      </c>
      <c r="F34" s="42"/>
      <c r="G34" s="42"/>
      <c r="H34" s="42"/>
      <c r="I34" s="42"/>
      <c r="J34" s="42"/>
      <c r="K34" s="42"/>
      <c r="L34" s="30">
        <f t="shared" si="0"/>
        <v>78.53</v>
      </c>
      <c r="M34" s="30">
        <f t="shared" si="4"/>
        <v>78.53</v>
      </c>
      <c r="N34" s="42"/>
      <c r="O34" s="55">
        <v>0</v>
      </c>
      <c r="P34" s="55">
        <f>M34</f>
        <v>78.53</v>
      </c>
      <c r="Q34" s="55">
        <v>0</v>
      </c>
      <c r="R34" s="55">
        <v>0</v>
      </c>
      <c r="S34" s="37">
        <f t="shared" si="2"/>
        <v>31.699696779563805</v>
      </c>
      <c r="T34" s="42"/>
      <c r="U34" s="64">
        <f>3986.5*3</f>
        <v>11959.5</v>
      </c>
      <c r="V34" s="42"/>
      <c r="W34" s="38">
        <f t="shared" si="5"/>
        <v>29.727729149999998</v>
      </c>
      <c r="X34" s="14"/>
      <c r="Y34" s="14"/>
      <c r="Z34" s="14"/>
    </row>
    <row r="35" spans="1:26" ht="54" customHeight="1" x14ac:dyDescent="0.25">
      <c r="A35" s="31" t="s">
        <v>98</v>
      </c>
      <c r="B35" s="26" t="s">
        <v>99</v>
      </c>
      <c r="C35" s="67" t="s">
        <v>187</v>
      </c>
      <c r="D35" s="33">
        <v>66.47</v>
      </c>
      <c r="E35" s="50">
        <f t="shared" si="3"/>
        <v>66.47</v>
      </c>
      <c r="F35" s="42"/>
      <c r="G35" s="42"/>
      <c r="H35" s="42"/>
      <c r="I35" s="42"/>
      <c r="J35" s="42"/>
      <c r="K35" s="42"/>
      <c r="L35" s="30">
        <f t="shared" si="0"/>
        <v>66.47</v>
      </c>
      <c r="M35" s="30">
        <f t="shared" si="4"/>
        <v>66.47</v>
      </c>
      <c r="N35" s="42"/>
      <c r="O35" s="55">
        <v>0</v>
      </c>
      <c r="P35" s="55">
        <f>M35</f>
        <v>66.47</v>
      </c>
      <c r="Q35" s="55">
        <v>0</v>
      </c>
      <c r="R35" s="55">
        <v>0</v>
      </c>
      <c r="S35" s="37">
        <f t="shared" si="2"/>
        <v>16.963576738637336</v>
      </c>
      <c r="T35" s="42"/>
      <c r="U35" s="64">
        <f>6305.5*3</f>
        <v>18916.5</v>
      </c>
      <c r="V35" s="42"/>
      <c r="W35" s="38">
        <f t="shared" si="5"/>
        <v>47.020744050000005</v>
      </c>
      <c r="X35" s="14"/>
      <c r="Y35" s="14"/>
      <c r="Z35" s="14"/>
    </row>
    <row r="36" spans="1:26" ht="52.5" customHeight="1" x14ac:dyDescent="0.25">
      <c r="A36" s="31" t="s">
        <v>100</v>
      </c>
      <c r="B36" s="26" t="s">
        <v>101</v>
      </c>
      <c r="C36" s="67" t="s">
        <v>188</v>
      </c>
      <c r="D36" s="33">
        <v>42.33</v>
      </c>
      <c r="E36" s="50">
        <f t="shared" si="3"/>
        <v>42.33</v>
      </c>
      <c r="F36" s="42"/>
      <c r="G36" s="42"/>
      <c r="H36" s="42"/>
      <c r="I36" s="42"/>
      <c r="J36" s="42"/>
      <c r="K36" s="42"/>
      <c r="L36" s="30">
        <f t="shared" si="0"/>
        <v>42.33</v>
      </c>
      <c r="M36" s="30">
        <f t="shared" si="4"/>
        <v>42.33</v>
      </c>
      <c r="N36" s="42"/>
      <c r="O36" s="55">
        <v>0</v>
      </c>
      <c r="P36" s="55">
        <v>0</v>
      </c>
      <c r="Q36" s="55">
        <f>M36</f>
        <v>42.33</v>
      </c>
      <c r="R36" s="55">
        <v>0</v>
      </c>
      <c r="S36" s="37">
        <f t="shared" si="2"/>
        <v>4.2748075177783633</v>
      </c>
      <c r="T36" s="42"/>
      <c r="U36" s="64">
        <f>2812*17</f>
        <v>47804</v>
      </c>
      <c r="V36" s="42"/>
      <c r="W36" s="38">
        <f t="shared" si="5"/>
        <v>118.8264028</v>
      </c>
      <c r="X36" s="14"/>
      <c r="Y36" s="14"/>
      <c r="Z36" s="14"/>
    </row>
    <row r="37" spans="1:26" ht="52.5" customHeight="1" x14ac:dyDescent="0.25">
      <c r="A37" s="31" t="s">
        <v>102</v>
      </c>
      <c r="B37" s="26" t="s">
        <v>103</v>
      </c>
      <c r="C37" s="67" t="s">
        <v>189</v>
      </c>
      <c r="D37" s="33">
        <v>27.89</v>
      </c>
      <c r="E37" s="50">
        <f t="shared" si="3"/>
        <v>27.89</v>
      </c>
      <c r="F37" s="42"/>
      <c r="G37" s="42"/>
      <c r="H37" s="42"/>
      <c r="I37" s="42"/>
      <c r="J37" s="42"/>
      <c r="K37" s="42"/>
      <c r="L37" s="30">
        <f t="shared" si="0"/>
        <v>27.89</v>
      </c>
      <c r="M37" s="30">
        <f t="shared" si="4"/>
        <v>27.89</v>
      </c>
      <c r="N37" s="42"/>
      <c r="O37" s="55">
        <v>0</v>
      </c>
      <c r="P37" s="55">
        <v>0</v>
      </c>
      <c r="Q37" s="55">
        <f>M37</f>
        <v>27.89</v>
      </c>
      <c r="R37" s="55">
        <v>0</v>
      </c>
      <c r="S37" s="37">
        <f t="shared" si="2"/>
        <v>57.245813399584407</v>
      </c>
      <c r="T37" s="42"/>
      <c r="U37" s="64">
        <f>4704*0.5</f>
        <v>2352</v>
      </c>
      <c r="V37" s="42"/>
      <c r="W37" s="38">
        <f t="shared" si="5"/>
        <v>5.8463664</v>
      </c>
      <c r="X37" s="14"/>
      <c r="Y37" s="14"/>
      <c r="Z37" s="14"/>
    </row>
    <row r="38" spans="1:26" ht="51" customHeight="1" x14ac:dyDescent="0.25">
      <c r="A38" s="31" t="s">
        <v>104</v>
      </c>
      <c r="B38" s="26" t="s">
        <v>105</v>
      </c>
      <c r="C38" s="67" t="s">
        <v>190</v>
      </c>
      <c r="D38" s="33">
        <v>27.89</v>
      </c>
      <c r="E38" s="50">
        <f t="shared" si="3"/>
        <v>27.89</v>
      </c>
      <c r="F38" s="42"/>
      <c r="G38" s="42"/>
      <c r="H38" s="42"/>
      <c r="I38" s="42"/>
      <c r="J38" s="42"/>
      <c r="K38" s="42"/>
      <c r="L38" s="30">
        <f t="shared" si="0"/>
        <v>27.89</v>
      </c>
      <c r="M38" s="30">
        <f t="shared" si="4"/>
        <v>27.89</v>
      </c>
      <c r="N38" s="42"/>
      <c r="O38" s="55">
        <v>0</v>
      </c>
      <c r="P38" s="55">
        <v>0</v>
      </c>
      <c r="Q38" s="55">
        <f>M38</f>
        <v>27.89</v>
      </c>
      <c r="R38" s="55">
        <v>0</v>
      </c>
      <c r="S38" s="37">
        <f t="shared" si="2"/>
        <v>42.618391427023035</v>
      </c>
      <c r="T38" s="42"/>
      <c r="U38" s="64">
        <f>6318.5*0.5</f>
        <v>3159.25</v>
      </c>
      <c r="V38" s="42"/>
      <c r="W38" s="38">
        <f t="shared" si="5"/>
        <v>7.8529477249999999</v>
      </c>
      <c r="X38" s="14"/>
      <c r="Y38" s="14"/>
      <c r="Z38" s="14"/>
    </row>
    <row r="39" spans="1:26" ht="54" customHeight="1" x14ac:dyDescent="0.25">
      <c r="A39" s="31" t="s">
        <v>106</v>
      </c>
      <c r="B39" s="26" t="s">
        <v>107</v>
      </c>
      <c r="C39" s="67" t="s">
        <v>184</v>
      </c>
      <c r="D39" s="33">
        <v>27.89</v>
      </c>
      <c r="E39" s="50">
        <f t="shared" si="3"/>
        <v>27.89</v>
      </c>
      <c r="F39" s="42"/>
      <c r="G39" s="42"/>
      <c r="H39" s="42"/>
      <c r="I39" s="42"/>
      <c r="J39" s="42"/>
      <c r="K39" s="42"/>
      <c r="L39" s="30">
        <f t="shared" si="0"/>
        <v>27.89</v>
      </c>
      <c r="M39" s="30">
        <f t="shared" si="4"/>
        <v>27.89</v>
      </c>
      <c r="N39" s="42"/>
      <c r="O39" s="55">
        <v>0</v>
      </c>
      <c r="P39" s="55">
        <v>0</v>
      </c>
      <c r="Q39" s="55">
        <f>M39</f>
        <v>27.89</v>
      </c>
      <c r="R39" s="55">
        <v>0</v>
      </c>
      <c r="S39" s="37">
        <f t="shared" si="2"/>
        <v>82.678632555003077</v>
      </c>
      <c r="T39" s="42"/>
      <c r="U39" s="64">
        <f>3257*0.5</f>
        <v>1628.5</v>
      </c>
      <c r="V39" s="42"/>
      <c r="W39" s="38">
        <f t="shared" si="5"/>
        <v>4.04796245</v>
      </c>
      <c r="X39" s="14"/>
      <c r="Y39" s="14"/>
      <c r="Z39" s="14"/>
    </row>
    <row r="40" spans="1:26" ht="51.75" customHeight="1" x14ac:dyDescent="0.25">
      <c r="A40" s="31" t="s">
        <v>108</v>
      </c>
      <c r="B40" s="26" t="s">
        <v>109</v>
      </c>
      <c r="C40" s="67" t="s">
        <v>191</v>
      </c>
      <c r="D40" s="33">
        <v>95.66</v>
      </c>
      <c r="E40" s="50">
        <f t="shared" si="3"/>
        <v>95.66</v>
      </c>
      <c r="F40" s="42"/>
      <c r="G40" s="42"/>
      <c r="H40" s="42"/>
      <c r="I40" s="42"/>
      <c r="J40" s="42"/>
      <c r="K40" s="42"/>
      <c r="L40" s="30">
        <f t="shared" si="0"/>
        <v>95.66</v>
      </c>
      <c r="M40" s="30">
        <f t="shared" si="4"/>
        <v>95.66</v>
      </c>
      <c r="N40" s="42"/>
      <c r="O40" s="55">
        <v>0</v>
      </c>
      <c r="P40" s="55">
        <v>0</v>
      </c>
      <c r="Q40" s="55">
        <f>M40</f>
        <v>95.66</v>
      </c>
      <c r="R40" s="55">
        <v>0</v>
      </c>
      <c r="S40" s="37">
        <f t="shared" si="2"/>
        <v>130.78718511175342</v>
      </c>
      <c r="T40" s="42"/>
      <c r="U40" s="64">
        <f>3531*1</f>
        <v>3531</v>
      </c>
      <c r="V40" s="42"/>
      <c r="W40" s="38">
        <f t="shared" si="5"/>
        <v>8.7770066999999994</v>
      </c>
      <c r="X40" s="14"/>
      <c r="Y40" s="14"/>
      <c r="Z40" s="14"/>
    </row>
    <row r="41" spans="1:26" ht="49.5" customHeight="1" x14ac:dyDescent="0.25">
      <c r="A41" s="31" t="s">
        <v>110</v>
      </c>
      <c r="B41" s="26" t="s">
        <v>111</v>
      </c>
      <c r="C41" s="67" t="s">
        <v>192</v>
      </c>
      <c r="D41" s="33">
        <v>89.59</v>
      </c>
      <c r="E41" s="50">
        <f t="shared" si="3"/>
        <v>89.59</v>
      </c>
      <c r="F41" s="42"/>
      <c r="G41" s="42"/>
      <c r="H41" s="42"/>
      <c r="I41" s="42"/>
      <c r="J41" s="42"/>
      <c r="K41" s="42"/>
      <c r="L41" s="30">
        <f t="shared" si="0"/>
        <v>89.59</v>
      </c>
      <c r="M41" s="30">
        <f t="shared" si="4"/>
        <v>89.59</v>
      </c>
      <c r="N41" s="42"/>
      <c r="O41" s="55">
        <v>0</v>
      </c>
      <c r="P41" s="55">
        <v>0</v>
      </c>
      <c r="Q41" s="55">
        <v>0</v>
      </c>
      <c r="R41" s="55">
        <f>M41</f>
        <v>89.59</v>
      </c>
      <c r="S41" s="37">
        <f t="shared" si="2"/>
        <v>188.16877700332788</v>
      </c>
      <c r="T41" s="42"/>
      <c r="U41" s="64">
        <f>2298.5*1</f>
        <v>2298.5</v>
      </c>
      <c r="V41" s="42"/>
      <c r="W41" s="38">
        <f t="shared" si="5"/>
        <v>5.71338145</v>
      </c>
      <c r="X41" s="14"/>
      <c r="Y41" s="14"/>
      <c r="Z41" s="14"/>
    </row>
    <row r="42" spans="1:26" ht="53.25" customHeight="1" x14ac:dyDescent="0.25">
      <c r="A42" s="31" t="s">
        <v>112</v>
      </c>
      <c r="B42" s="26" t="s">
        <v>113</v>
      </c>
      <c r="C42" s="67" t="s">
        <v>193</v>
      </c>
      <c r="D42" s="33">
        <v>89.59</v>
      </c>
      <c r="E42" s="50">
        <f t="shared" si="3"/>
        <v>89.59</v>
      </c>
      <c r="F42" s="42"/>
      <c r="G42" s="42"/>
      <c r="H42" s="42"/>
      <c r="I42" s="42"/>
      <c r="J42" s="42"/>
      <c r="K42" s="42"/>
      <c r="L42" s="30">
        <f t="shared" si="0"/>
        <v>89.59</v>
      </c>
      <c r="M42" s="30">
        <f t="shared" si="4"/>
        <v>89.59</v>
      </c>
      <c r="N42" s="42"/>
      <c r="O42" s="55">
        <v>0</v>
      </c>
      <c r="P42" s="55">
        <v>0</v>
      </c>
      <c r="Q42" s="55">
        <v>0</v>
      </c>
      <c r="R42" s="55">
        <f>M42</f>
        <v>89.59</v>
      </c>
      <c r="S42" s="37">
        <f t="shared" si="2"/>
        <v>181.80156954272766</v>
      </c>
      <c r="T42" s="42"/>
      <c r="U42" s="64">
        <f>2379*1</f>
        <v>2379</v>
      </c>
      <c r="V42" s="42"/>
      <c r="W42" s="38">
        <f t="shared" si="5"/>
        <v>5.9134802999999998</v>
      </c>
      <c r="X42" s="14"/>
      <c r="Y42" s="14"/>
      <c r="Z42" s="14"/>
    </row>
    <row r="43" spans="1:26" ht="53.25" customHeight="1" x14ac:dyDescent="0.25">
      <c r="A43" s="31" t="s">
        <v>114</v>
      </c>
      <c r="B43" s="26" t="s">
        <v>115</v>
      </c>
      <c r="C43" s="67" t="s">
        <v>194</v>
      </c>
      <c r="D43" s="33">
        <v>109.9</v>
      </c>
      <c r="E43" s="50">
        <f t="shared" si="3"/>
        <v>109.9</v>
      </c>
      <c r="F43" s="42"/>
      <c r="G43" s="42"/>
      <c r="H43" s="42"/>
      <c r="I43" s="42"/>
      <c r="J43" s="42"/>
      <c r="K43" s="42"/>
      <c r="L43" s="30">
        <f t="shared" si="0"/>
        <v>109.9</v>
      </c>
      <c r="M43" s="30">
        <f t="shared" si="4"/>
        <v>109.9</v>
      </c>
      <c r="N43" s="42"/>
      <c r="O43" s="55">
        <v>0</v>
      </c>
      <c r="P43" s="55">
        <v>0</v>
      </c>
      <c r="Q43" s="55">
        <v>0</v>
      </c>
      <c r="R43" s="55">
        <f>M43</f>
        <v>109.9</v>
      </c>
      <c r="S43" s="37">
        <f t="shared" si="2"/>
        <v>9.8498955388254643</v>
      </c>
      <c r="T43" s="42"/>
      <c r="U43" s="64">
        <f>6733*8</f>
        <v>53864</v>
      </c>
      <c r="V43" s="42"/>
      <c r="W43" s="38">
        <f t="shared" si="5"/>
        <v>133.88974480000002</v>
      </c>
      <c r="X43" s="14"/>
      <c r="Y43" s="14"/>
      <c r="Z43" s="14"/>
    </row>
    <row r="44" spans="1:26" ht="53.25" customHeight="1" x14ac:dyDescent="0.25">
      <c r="A44" s="31" t="s">
        <v>116</v>
      </c>
      <c r="B44" s="26" t="s">
        <v>117</v>
      </c>
      <c r="C44" s="67" t="s">
        <v>195</v>
      </c>
      <c r="D44" s="33">
        <v>119.99</v>
      </c>
      <c r="E44" s="50">
        <f t="shared" si="3"/>
        <v>119.99</v>
      </c>
      <c r="F44" s="42"/>
      <c r="G44" s="42"/>
      <c r="H44" s="42"/>
      <c r="I44" s="42"/>
      <c r="J44" s="42"/>
      <c r="K44" s="42"/>
      <c r="L44" s="30">
        <f t="shared" si="0"/>
        <v>119.99</v>
      </c>
      <c r="M44" s="30">
        <f t="shared" si="4"/>
        <v>119.99</v>
      </c>
      <c r="N44" s="42"/>
      <c r="O44" s="55">
        <v>0</v>
      </c>
      <c r="P44" s="55">
        <v>0</v>
      </c>
      <c r="Q44" s="55">
        <v>0</v>
      </c>
      <c r="R44" s="55">
        <f>M44</f>
        <v>119.99</v>
      </c>
      <c r="S44" s="37">
        <f t="shared" si="2"/>
        <v>12.493861575295497</v>
      </c>
      <c r="T44" s="42"/>
      <c r="U44" s="64">
        <f>5795.5*8</f>
        <v>46364</v>
      </c>
      <c r="V44" s="42"/>
      <c r="W44" s="38">
        <f t="shared" si="5"/>
        <v>115.2469948</v>
      </c>
      <c r="X44" s="14"/>
      <c r="Y44" s="14"/>
      <c r="Z44" s="14"/>
    </row>
    <row r="45" spans="1:26" ht="55.5" customHeight="1" x14ac:dyDescent="0.25">
      <c r="A45" s="31" t="s">
        <v>118</v>
      </c>
      <c r="B45" s="26" t="s">
        <v>119</v>
      </c>
      <c r="C45" s="67" t="s">
        <v>196</v>
      </c>
      <c r="D45" s="33">
        <v>91.62</v>
      </c>
      <c r="E45" s="50">
        <f t="shared" si="3"/>
        <v>91.62</v>
      </c>
      <c r="F45" s="42"/>
      <c r="G45" s="42"/>
      <c r="H45" s="42"/>
      <c r="I45" s="42"/>
      <c r="J45" s="42"/>
      <c r="K45" s="42"/>
      <c r="L45" s="30">
        <f t="shared" si="0"/>
        <v>91.62</v>
      </c>
      <c r="M45" s="30">
        <f t="shared" si="4"/>
        <v>91.62</v>
      </c>
      <c r="N45" s="42"/>
      <c r="O45" s="55">
        <v>0</v>
      </c>
      <c r="P45" s="55">
        <v>0</v>
      </c>
      <c r="Q45" s="55">
        <v>0</v>
      </c>
      <c r="R45" s="55">
        <f>M45</f>
        <v>91.62</v>
      </c>
      <c r="S45" s="37">
        <f t="shared" si="2"/>
        <v>8.4625140436859532</v>
      </c>
      <c r="T45" s="42"/>
      <c r="U45" s="64">
        <f>3074.5*17</f>
        <v>52266.5</v>
      </c>
      <c r="V45" s="42"/>
      <c r="W45" s="38">
        <f t="shared" si="5"/>
        <v>129.91883905</v>
      </c>
      <c r="X45" s="14"/>
      <c r="Y45" s="14"/>
      <c r="Z45" s="14"/>
    </row>
    <row r="46" spans="1:26" ht="41.25" customHeight="1" x14ac:dyDescent="0.25">
      <c r="A46" s="31" t="s">
        <v>120</v>
      </c>
      <c r="B46" s="26" t="s">
        <v>121</v>
      </c>
      <c r="C46" s="67" t="s">
        <v>197</v>
      </c>
      <c r="D46" s="33">
        <v>245.16</v>
      </c>
      <c r="E46" s="50">
        <f t="shared" si="3"/>
        <v>245.16</v>
      </c>
      <c r="F46" s="42"/>
      <c r="G46" s="42"/>
      <c r="H46" s="42"/>
      <c r="I46" s="42"/>
      <c r="J46" s="42"/>
      <c r="K46" s="42"/>
      <c r="L46" s="30">
        <f t="shared" si="0"/>
        <v>245.16</v>
      </c>
      <c r="M46" s="30">
        <f t="shared" si="4"/>
        <v>245.16</v>
      </c>
      <c r="N46" s="42"/>
      <c r="O46" s="55">
        <v>0</v>
      </c>
      <c r="P46" s="55">
        <f>M46</f>
        <v>245.16</v>
      </c>
      <c r="Q46" s="55">
        <v>0</v>
      </c>
      <c r="R46" s="55">
        <v>0</v>
      </c>
      <c r="S46" s="37">
        <f t="shared" si="2"/>
        <v>30.398567740903768</v>
      </c>
      <c r="T46" s="42"/>
      <c r="U46" s="64">
        <f>4326*9</f>
        <v>38934</v>
      </c>
      <c r="V46" s="42"/>
      <c r="W46" s="38">
        <f t="shared" si="5"/>
        <v>96.778243799999998</v>
      </c>
      <c r="X46" s="14"/>
      <c r="Y46" s="14"/>
      <c r="Z46" s="14"/>
    </row>
    <row r="47" spans="1:26" ht="48" customHeight="1" x14ac:dyDescent="0.25">
      <c r="A47" s="31" t="s">
        <v>122</v>
      </c>
      <c r="B47" s="27" t="s">
        <v>123</v>
      </c>
      <c r="C47" s="67" t="s">
        <v>198</v>
      </c>
      <c r="D47" s="33">
        <v>137.66</v>
      </c>
      <c r="E47" s="50">
        <f t="shared" si="3"/>
        <v>137.66</v>
      </c>
      <c r="F47" s="42"/>
      <c r="G47" s="42"/>
      <c r="H47" s="42"/>
      <c r="I47" s="42"/>
      <c r="J47" s="42"/>
      <c r="K47" s="42"/>
      <c r="L47" s="30">
        <f t="shared" si="0"/>
        <v>137.66</v>
      </c>
      <c r="M47" s="30">
        <f t="shared" si="4"/>
        <v>137.66</v>
      </c>
      <c r="N47" s="42"/>
      <c r="O47" s="55">
        <v>0</v>
      </c>
      <c r="P47" s="55">
        <v>0</v>
      </c>
      <c r="Q47" s="55">
        <f>M47</f>
        <v>137.66</v>
      </c>
      <c r="R47" s="55">
        <v>0</v>
      </c>
      <c r="S47" s="37">
        <f t="shared" si="2"/>
        <v>35.345672620220334</v>
      </c>
      <c r="T47" s="42"/>
      <c r="U47" s="64">
        <f>1343*14</f>
        <v>18802</v>
      </c>
      <c r="V47" s="42"/>
      <c r="W47" s="38">
        <f t="shared" si="5"/>
        <v>46.736131399999998</v>
      </c>
      <c r="X47" s="14"/>
      <c r="Y47" s="14"/>
      <c r="Z47" s="14"/>
    </row>
    <row r="48" spans="1:26" ht="37.5" customHeight="1" x14ac:dyDescent="0.25">
      <c r="A48" s="31" t="s">
        <v>124</v>
      </c>
      <c r="B48" s="27" t="s">
        <v>125</v>
      </c>
      <c r="C48" s="67" t="s">
        <v>199</v>
      </c>
      <c r="D48" s="33">
        <v>245.16</v>
      </c>
      <c r="E48" s="50">
        <f t="shared" si="3"/>
        <v>245.16</v>
      </c>
      <c r="F48" s="36"/>
      <c r="G48" s="36"/>
      <c r="H48" s="36"/>
      <c r="I48" s="36"/>
      <c r="J48" s="36"/>
      <c r="K48" s="77"/>
      <c r="L48" s="30">
        <f t="shared" si="0"/>
        <v>245.16</v>
      </c>
      <c r="M48" s="30">
        <f t="shared" si="4"/>
        <v>245.16</v>
      </c>
      <c r="N48" s="77"/>
      <c r="O48" s="38">
        <v>0</v>
      </c>
      <c r="P48" s="38">
        <v>0</v>
      </c>
      <c r="Q48" s="38">
        <v>0</v>
      </c>
      <c r="R48" s="38">
        <f>M48</f>
        <v>245.16</v>
      </c>
      <c r="S48" s="37">
        <f t="shared" si="2"/>
        <v>23.33703709798575</v>
      </c>
      <c r="T48" s="77"/>
      <c r="U48" s="64">
        <f>5635*9</f>
        <v>50715</v>
      </c>
      <c r="V48" s="77"/>
      <c r="W48" s="38">
        <f t="shared" si="5"/>
        <v>126.0622755</v>
      </c>
      <c r="X48" s="5"/>
      <c r="Y48" s="5"/>
      <c r="Z48" s="5"/>
    </row>
    <row r="49" spans="1:26" ht="92.25" customHeight="1" x14ac:dyDescent="0.25">
      <c r="A49" s="31" t="s">
        <v>144</v>
      </c>
      <c r="B49" s="90" t="s">
        <v>202</v>
      </c>
      <c r="C49" s="96" t="s">
        <v>200</v>
      </c>
      <c r="D49" s="33">
        <f>I49</f>
        <v>131.44999999999999</v>
      </c>
      <c r="E49" s="50" t="s">
        <v>164</v>
      </c>
      <c r="F49" s="36"/>
      <c r="G49" s="36"/>
      <c r="H49" s="36"/>
      <c r="I49" s="91">
        <v>131.44999999999999</v>
      </c>
      <c r="J49" s="36"/>
      <c r="K49" s="87"/>
      <c r="L49" s="30" t="s">
        <v>164</v>
      </c>
      <c r="M49" s="30">
        <v>131.44999999999999</v>
      </c>
      <c r="N49" s="38"/>
      <c r="O49" s="38">
        <v>0</v>
      </c>
      <c r="P49" s="38">
        <v>0</v>
      </c>
      <c r="Q49" s="38">
        <v>131.44999999999999</v>
      </c>
      <c r="R49" s="38">
        <v>0</v>
      </c>
      <c r="S49" s="37" t="s">
        <v>164</v>
      </c>
      <c r="T49" s="87"/>
      <c r="U49" s="64" t="s">
        <v>164</v>
      </c>
      <c r="V49" s="87"/>
      <c r="W49" s="38" t="s">
        <v>164</v>
      </c>
      <c r="X49" s="5"/>
      <c r="Y49" s="5"/>
      <c r="Z49" s="5"/>
    </row>
    <row r="50" spans="1:26" ht="26.25" customHeight="1" x14ac:dyDescent="0.25">
      <c r="A50" s="31" t="s">
        <v>145</v>
      </c>
      <c r="B50" s="92" t="s">
        <v>150</v>
      </c>
      <c r="C50" s="67" t="s">
        <v>147</v>
      </c>
      <c r="D50" s="33">
        <f>I50</f>
        <v>25.58</v>
      </c>
      <c r="E50" s="50" t="s">
        <v>164</v>
      </c>
      <c r="F50" s="36"/>
      <c r="G50" s="36"/>
      <c r="H50" s="36"/>
      <c r="I50" s="91">
        <v>25.58</v>
      </c>
      <c r="J50" s="36"/>
      <c r="K50" s="87"/>
      <c r="L50" s="30" t="s">
        <v>164</v>
      </c>
      <c r="M50" s="30">
        <v>25.58</v>
      </c>
      <c r="N50" s="87"/>
      <c r="O50" s="38">
        <v>0</v>
      </c>
      <c r="P50" s="38">
        <v>0</v>
      </c>
      <c r="Q50" s="38">
        <v>25.58</v>
      </c>
      <c r="R50" s="38">
        <v>0</v>
      </c>
      <c r="S50" s="37" t="s">
        <v>164</v>
      </c>
      <c r="T50" s="87"/>
      <c r="U50" s="64" t="s">
        <v>164</v>
      </c>
      <c r="V50" s="87"/>
      <c r="W50" s="38" t="s">
        <v>164</v>
      </c>
      <c r="X50" s="5"/>
      <c r="Y50" s="5"/>
      <c r="Z50" s="5"/>
    </row>
    <row r="51" spans="1:26" ht="18" customHeight="1" x14ac:dyDescent="0.25">
      <c r="A51" s="125" t="s">
        <v>35</v>
      </c>
      <c r="B51" s="125"/>
      <c r="C51" s="125"/>
      <c r="D51" s="33">
        <f>SUM(D25:D50)</f>
        <v>2054.63</v>
      </c>
      <c r="E51" s="33">
        <f>SUM(E25:E48)</f>
        <v>1897.6000000000001</v>
      </c>
      <c r="F51" s="77"/>
      <c r="G51" s="77"/>
      <c r="H51" s="77"/>
      <c r="I51" s="33">
        <f>SUM(I49:I50)</f>
        <v>157.02999999999997</v>
      </c>
      <c r="J51" s="77"/>
      <c r="K51" s="77"/>
      <c r="L51" s="41">
        <f>E51+F51+J51+K51</f>
        <v>1897.6000000000001</v>
      </c>
      <c r="M51" s="33">
        <f>SUM(M25:M50)</f>
        <v>2054.63</v>
      </c>
      <c r="N51" s="39"/>
      <c r="O51" s="39">
        <f>SUM(O25:O50)</f>
        <v>318.02</v>
      </c>
      <c r="P51" s="39">
        <f>SUM(P25:P50)</f>
        <v>474.40999999999997</v>
      </c>
      <c r="Q51" s="39">
        <f>SUM(Q25:Q50)</f>
        <v>516.35</v>
      </c>
      <c r="R51" s="76">
        <f>SUM(R25:R48)</f>
        <v>745.85</v>
      </c>
      <c r="S51" s="43"/>
      <c r="T51" s="77"/>
      <c r="U51" s="44">
        <f>SUM(U25:U48)</f>
        <v>422826.25</v>
      </c>
      <c r="V51" s="39"/>
      <c r="W51" s="39">
        <f>SUM(W25:W48)</f>
        <v>1051.019209625</v>
      </c>
      <c r="X51" s="3"/>
      <c r="Y51" s="3"/>
      <c r="Z51" s="3"/>
    </row>
    <row r="52" spans="1:26" ht="16.5" customHeight="1" x14ac:dyDescent="0.25">
      <c r="A52" s="40" t="s">
        <v>44</v>
      </c>
      <c r="B52" s="35"/>
      <c r="C52" s="126" t="s">
        <v>17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3"/>
      <c r="Y52" s="13"/>
      <c r="Z52" s="13"/>
    </row>
    <row r="53" spans="1:26" ht="15.75" x14ac:dyDescent="0.25">
      <c r="A53" s="34" t="s">
        <v>44</v>
      </c>
      <c r="B53" s="69" t="s">
        <v>127</v>
      </c>
      <c r="C53" s="83" t="s">
        <v>128</v>
      </c>
      <c r="D53" s="38">
        <v>225</v>
      </c>
      <c r="E53" s="38">
        <f>D53</f>
        <v>225</v>
      </c>
      <c r="F53" s="36"/>
      <c r="G53" s="36"/>
      <c r="H53" s="36"/>
      <c r="I53" s="36"/>
      <c r="J53" s="36"/>
      <c r="K53" s="77"/>
      <c r="L53" s="30">
        <f>E53+F53+J53+K53</f>
        <v>225</v>
      </c>
      <c r="M53" s="50">
        <f>L53</f>
        <v>225</v>
      </c>
      <c r="N53" s="51"/>
      <c r="O53" s="38">
        <v>0</v>
      </c>
      <c r="P53" s="38">
        <v>108</v>
      </c>
      <c r="Q53" s="38">
        <v>117</v>
      </c>
      <c r="R53" s="38">
        <v>0</v>
      </c>
      <c r="S53" s="37" t="s">
        <v>164</v>
      </c>
      <c r="T53" s="77"/>
      <c r="U53" s="87" t="s">
        <v>164</v>
      </c>
      <c r="V53" s="77"/>
      <c r="W53" s="38" t="s">
        <v>164</v>
      </c>
      <c r="X53" s="5"/>
      <c r="Y53" s="5"/>
      <c r="Z53" s="5"/>
    </row>
    <row r="54" spans="1:26" ht="17.25" customHeight="1" x14ac:dyDescent="0.25">
      <c r="A54" s="125" t="s">
        <v>36</v>
      </c>
      <c r="B54" s="125"/>
      <c r="C54" s="125"/>
      <c r="D54" s="39">
        <f>D53</f>
        <v>225</v>
      </c>
      <c r="E54" s="39">
        <f>D54</f>
        <v>225</v>
      </c>
      <c r="F54" s="77"/>
      <c r="G54" s="77"/>
      <c r="H54" s="77"/>
      <c r="I54" s="77"/>
      <c r="J54" s="77"/>
      <c r="K54" s="77"/>
      <c r="L54" s="33">
        <f>L53</f>
        <v>225</v>
      </c>
      <c r="M54" s="33">
        <f>M53</f>
        <v>225</v>
      </c>
      <c r="N54" s="51"/>
      <c r="O54" s="39">
        <f>O53</f>
        <v>0</v>
      </c>
      <c r="P54" s="39">
        <f t="shared" ref="P54:R54" si="6">P53</f>
        <v>108</v>
      </c>
      <c r="Q54" s="39">
        <f t="shared" si="6"/>
        <v>117</v>
      </c>
      <c r="R54" s="39">
        <f t="shared" si="6"/>
        <v>0</v>
      </c>
      <c r="S54" s="76"/>
      <c r="T54" s="76"/>
      <c r="U54" s="76"/>
      <c r="V54" s="76"/>
      <c r="W54" s="39"/>
      <c r="X54" s="3"/>
      <c r="Y54" s="3"/>
      <c r="Z54" s="3"/>
    </row>
    <row r="55" spans="1:26" ht="15.75" x14ac:dyDescent="0.25">
      <c r="A55" s="40" t="s">
        <v>43</v>
      </c>
      <c r="B55" s="31"/>
      <c r="C55" s="131" t="s">
        <v>18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"/>
      <c r="Y55" s="13"/>
      <c r="Z55" s="13"/>
    </row>
    <row r="56" spans="1:26" ht="15.75" customHeight="1" x14ac:dyDescent="0.25">
      <c r="A56" s="125" t="s">
        <v>37</v>
      </c>
      <c r="B56" s="125"/>
      <c r="C56" s="125"/>
      <c r="D56" s="77"/>
      <c r="E56" s="77"/>
      <c r="F56" s="77"/>
      <c r="G56" s="77"/>
      <c r="H56" s="77"/>
      <c r="I56" s="77"/>
      <c r="J56" s="77"/>
      <c r="K56" s="77"/>
      <c r="L56" s="77"/>
      <c r="M56" s="51"/>
      <c r="N56" s="51"/>
      <c r="O56" s="77"/>
      <c r="P56" s="77"/>
      <c r="Q56" s="77"/>
      <c r="R56" s="77"/>
      <c r="S56" s="77"/>
      <c r="T56" s="77"/>
      <c r="U56" s="77"/>
      <c r="V56" s="77"/>
      <c r="W56" s="77"/>
      <c r="X56" s="5"/>
      <c r="Y56" s="5"/>
      <c r="Z56" s="5"/>
    </row>
    <row r="57" spans="1:26" ht="18" customHeight="1" x14ac:dyDescent="0.25">
      <c r="A57" s="40" t="s">
        <v>38</v>
      </c>
      <c r="B57" s="31"/>
      <c r="C57" s="131" t="s">
        <v>25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5"/>
      <c r="Y57" s="5"/>
      <c r="Z57" s="5"/>
    </row>
    <row r="58" spans="1:26" ht="65.25" customHeight="1" x14ac:dyDescent="0.25">
      <c r="A58" s="40" t="s">
        <v>148</v>
      </c>
      <c r="B58" s="93" t="s">
        <v>146</v>
      </c>
      <c r="C58" s="67" t="s">
        <v>203</v>
      </c>
      <c r="D58" s="86">
        <f>166.82+44</f>
        <v>210.82</v>
      </c>
      <c r="E58" s="87" t="s">
        <v>164</v>
      </c>
      <c r="F58" s="87"/>
      <c r="G58" s="87"/>
      <c r="H58" s="87"/>
      <c r="I58" s="87">
        <v>210.82</v>
      </c>
      <c r="J58" s="87"/>
      <c r="K58" s="87"/>
      <c r="L58" s="87"/>
      <c r="M58" s="38">
        <v>210.82</v>
      </c>
      <c r="N58" s="38" t="s">
        <v>164</v>
      </c>
      <c r="O58" s="38">
        <v>0</v>
      </c>
      <c r="P58" s="38">
        <v>0</v>
      </c>
      <c r="Q58" s="87">
        <v>105.41</v>
      </c>
      <c r="R58" s="87">
        <v>105.41</v>
      </c>
      <c r="S58" s="87" t="s">
        <v>164</v>
      </c>
      <c r="T58" s="87"/>
      <c r="U58" s="87" t="s">
        <v>164</v>
      </c>
      <c r="V58" s="87"/>
      <c r="W58" s="87" t="s">
        <v>164</v>
      </c>
      <c r="X58" s="5"/>
      <c r="Y58" s="5"/>
      <c r="Z58" s="5"/>
    </row>
    <row r="59" spans="1:26" ht="51.75" customHeight="1" x14ac:dyDescent="0.25">
      <c r="A59" s="40" t="s">
        <v>149</v>
      </c>
      <c r="B59" s="93" t="s">
        <v>161</v>
      </c>
      <c r="C59" s="67" t="s">
        <v>204</v>
      </c>
      <c r="D59" s="86">
        <v>241.48</v>
      </c>
      <c r="E59" s="87" t="s">
        <v>164</v>
      </c>
      <c r="F59" s="87"/>
      <c r="G59" s="87"/>
      <c r="H59" s="87"/>
      <c r="I59" s="87">
        <v>241.48</v>
      </c>
      <c r="J59" s="87"/>
      <c r="K59" s="87"/>
      <c r="L59" s="87"/>
      <c r="M59" s="87">
        <v>241.48</v>
      </c>
      <c r="N59" s="38" t="s">
        <v>164</v>
      </c>
      <c r="O59" s="38">
        <v>0</v>
      </c>
      <c r="P59" s="38">
        <v>0</v>
      </c>
      <c r="Q59" s="38">
        <v>0</v>
      </c>
      <c r="R59" s="87">
        <v>241.48</v>
      </c>
      <c r="S59" s="87" t="s">
        <v>164</v>
      </c>
      <c r="T59" s="87"/>
      <c r="U59" s="87" t="s">
        <v>164</v>
      </c>
      <c r="V59" s="87"/>
      <c r="W59" s="87" t="s">
        <v>164</v>
      </c>
      <c r="X59" s="5"/>
      <c r="Y59" s="5"/>
      <c r="Z59" s="5"/>
    </row>
    <row r="60" spans="1:26" ht="15" customHeight="1" x14ac:dyDescent="0.25">
      <c r="A60" s="125" t="s">
        <v>39</v>
      </c>
      <c r="B60" s="125"/>
      <c r="C60" s="125"/>
      <c r="D60" s="39">
        <f>SUM(D58:D59)</f>
        <v>452.29999999999995</v>
      </c>
      <c r="E60" s="33"/>
      <c r="F60" s="87"/>
      <c r="G60" s="87"/>
      <c r="H60" s="87"/>
      <c r="I60" s="39">
        <f>SUM(I58:I59)</f>
        <v>452.29999999999995</v>
      </c>
      <c r="J60" s="87"/>
      <c r="K60" s="87"/>
      <c r="L60" s="41"/>
      <c r="M60" s="41">
        <f>SUM(M58:M59)</f>
        <v>452.29999999999995</v>
      </c>
      <c r="N60" s="39">
        <f>SUM(N58:N59)</f>
        <v>0</v>
      </c>
      <c r="O60" s="41">
        <v>0</v>
      </c>
      <c r="P60" s="39">
        <v>0</v>
      </c>
      <c r="Q60" s="39">
        <f>SUM(Q58:Q59)</f>
        <v>105.41</v>
      </c>
      <c r="R60" s="39">
        <f>SUM(R58:R59)</f>
        <v>346.89</v>
      </c>
      <c r="S60" s="87"/>
      <c r="T60" s="87"/>
      <c r="U60" s="86"/>
      <c r="V60" s="39"/>
      <c r="W60" s="39"/>
      <c r="X60" s="13"/>
      <c r="Y60" s="13"/>
      <c r="Z60" s="13"/>
    </row>
    <row r="61" spans="1:26" ht="15.75" customHeight="1" x14ac:dyDescent="0.25">
      <c r="A61" s="40" t="s">
        <v>41</v>
      </c>
      <c r="B61" s="71" t="s">
        <v>70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3"/>
      <c r="X61" s="3"/>
      <c r="Y61" s="3"/>
      <c r="Z61" s="3"/>
    </row>
    <row r="62" spans="1:26" ht="15.75" customHeight="1" x14ac:dyDescent="0.25">
      <c r="A62" s="125" t="s">
        <v>40</v>
      </c>
      <c r="B62" s="131"/>
      <c r="C62" s="131"/>
      <c r="D62" s="51"/>
      <c r="E62" s="77"/>
      <c r="F62" s="77"/>
      <c r="G62" s="77"/>
      <c r="H62" s="77"/>
      <c r="I62" s="77"/>
      <c r="J62" s="77"/>
      <c r="K62" s="77"/>
      <c r="L62" s="77"/>
      <c r="M62" s="51"/>
      <c r="N62" s="51"/>
      <c r="O62" s="51"/>
      <c r="P62" s="77"/>
      <c r="Q62" s="77"/>
      <c r="R62" s="77"/>
      <c r="S62" s="77"/>
      <c r="T62" s="77"/>
      <c r="U62" s="77"/>
      <c r="V62" s="76"/>
      <c r="W62" s="76"/>
      <c r="X62" s="5"/>
      <c r="Y62" s="5"/>
      <c r="Z62" s="5"/>
    </row>
    <row r="63" spans="1:26" ht="15.75" x14ac:dyDescent="0.25">
      <c r="A63" s="40" t="s">
        <v>51</v>
      </c>
      <c r="B63" s="51"/>
      <c r="C63" s="132" t="s">
        <v>21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4"/>
      <c r="X63" s="5"/>
      <c r="Y63" s="5"/>
      <c r="Z63" s="5"/>
    </row>
    <row r="64" spans="1:26" ht="17.25" customHeight="1" x14ac:dyDescent="0.25">
      <c r="A64" s="128" t="s">
        <v>42</v>
      </c>
      <c r="B64" s="129"/>
      <c r="C64" s="130"/>
      <c r="D64" s="77"/>
      <c r="E64" s="77"/>
      <c r="F64" s="77"/>
      <c r="G64" s="77"/>
      <c r="H64" s="77"/>
      <c r="I64" s="77"/>
      <c r="J64" s="77"/>
      <c r="K64" s="77"/>
      <c r="L64" s="77"/>
      <c r="M64" s="51"/>
      <c r="N64" s="51"/>
      <c r="O64" s="77"/>
      <c r="P64" s="77"/>
      <c r="Q64" s="77"/>
      <c r="R64" s="77"/>
      <c r="S64" s="77"/>
      <c r="T64" s="77"/>
      <c r="U64" s="76"/>
      <c r="V64" s="76"/>
      <c r="W64" s="76"/>
      <c r="X64" s="5"/>
      <c r="Y64" s="5"/>
      <c r="Z64" s="5"/>
    </row>
    <row r="65" spans="1:26" ht="15" customHeight="1" x14ac:dyDescent="0.25">
      <c r="A65" s="40" t="s">
        <v>52</v>
      </c>
      <c r="B65" s="31"/>
      <c r="C65" s="126" t="s">
        <v>19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</row>
    <row r="66" spans="1:26" ht="14.25" customHeight="1" x14ac:dyDescent="0.25">
      <c r="A66" s="125" t="s">
        <v>53</v>
      </c>
      <c r="B66" s="131"/>
      <c r="C66" s="131"/>
      <c r="D66" s="51"/>
      <c r="E66" s="77"/>
      <c r="F66" s="77"/>
      <c r="G66" s="77"/>
      <c r="H66" s="77"/>
      <c r="I66" s="77"/>
      <c r="J66" s="77"/>
      <c r="K66" s="77"/>
      <c r="L66" s="77"/>
      <c r="M66" s="51"/>
      <c r="N66" s="51"/>
      <c r="O66" s="51"/>
      <c r="P66" s="77"/>
      <c r="Q66" s="77"/>
      <c r="R66" s="77"/>
      <c r="S66" s="77"/>
      <c r="T66" s="77"/>
      <c r="U66" s="77"/>
      <c r="V66" s="76"/>
      <c r="W66" s="76"/>
      <c r="X66" s="3"/>
      <c r="Y66" s="3"/>
      <c r="Z66" s="3"/>
    </row>
    <row r="67" spans="1:26" ht="21" hidden="1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3"/>
      <c r="Y67" s="3"/>
      <c r="Z67" s="3"/>
    </row>
    <row r="68" spans="1:26" ht="15.75" x14ac:dyDescent="0.25">
      <c r="A68" s="34" t="s">
        <v>54</v>
      </c>
      <c r="B68" s="35"/>
      <c r="C68" s="131" t="s">
        <v>22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</row>
    <row r="69" spans="1:26" ht="15.75" customHeight="1" x14ac:dyDescent="0.25">
      <c r="A69" s="125" t="s">
        <v>55</v>
      </c>
      <c r="B69" s="125"/>
      <c r="C69" s="125"/>
      <c r="D69" s="77"/>
      <c r="E69" s="77"/>
      <c r="F69" s="77"/>
      <c r="G69" s="77"/>
      <c r="H69" s="77"/>
      <c r="I69" s="77"/>
      <c r="J69" s="77"/>
      <c r="K69" s="77"/>
      <c r="L69" s="77"/>
      <c r="M69" s="51"/>
      <c r="N69" s="51"/>
      <c r="O69" s="77"/>
      <c r="P69" s="77"/>
      <c r="Q69" s="77"/>
      <c r="R69" s="77"/>
      <c r="S69" s="77"/>
      <c r="T69" s="77"/>
      <c r="U69" s="51"/>
      <c r="V69" s="51"/>
      <c r="W69" s="51"/>
      <c r="X69" s="3"/>
      <c r="Y69" s="3"/>
      <c r="Z69" s="3"/>
    </row>
    <row r="70" spans="1:26" ht="15.75" x14ac:dyDescent="0.25">
      <c r="A70" s="125" t="s">
        <v>27</v>
      </c>
      <c r="B70" s="125"/>
      <c r="C70" s="125"/>
      <c r="D70" s="33">
        <f>D51+D54+D60</f>
        <v>2731.9300000000003</v>
      </c>
      <c r="E70" s="33">
        <f>E51+E54</f>
        <v>2122.6000000000004</v>
      </c>
      <c r="F70" s="76"/>
      <c r="G70" s="76"/>
      <c r="H70" s="76"/>
      <c r="I70" s="39">
        <f>I60+I51</f>
        <v>609.32999999999993</v>
      </c>
      <c r="J70" s="76"/>
      <c r="K70" s="76"/>
      <c r="L70" s="33">
        <f>L51+L54</f>
        <v>2122.6000000000004</v>
      </c>
      <c r="M70" s="33">
        <f>M51+M54+M60</f>
        <v>2731.9300000000003</v>
      </c>
      <c r="N70" s="33">
        <f>N51+N54+N60</f>
        <v>0</v>
      </c>
      <c r="O70" s="33">
        <f t="shared" ref="O70:P70" si="7">O51+O54</f>
        <v>318.02</v>
      </c>
      <c r="P70" s="33">
        <f t="shared" si="7"/>
        <v>582.41</v>
      </c>
      <c r="Q70" s="33">
        <f>Q51+Q54+Q60</f>
        <v>738.76</v>
      </c>
      <c r="R70" s="33">
        <f>R51+R54+R60</f>
        <v>1092.74</v>
      </c>
      <c r="S70" s="45"/>
      <c r="T70" s="76"/>
      <c r="U70" s="45">
        <f>U51+U54</f>
        <v>422826.25</v>
      </c>
      <c r="V70" s="39"/>
      <c r="W70" s="33">
        <f>W51+W54</f>
        <v>1051.019209625</v>
      </c>
      <c r="X70" s="5"/>
      <c r="Y70" s="5"/>
      <c r="Z70" s="5"/>
    </row>
    <row r="71" spans="1:26" ht="16.149999999999999" customHeight="1" x14ac:dyDescent="0.25">
      <c r="A71" s="56" t="s">
        <v>23</v>
      </c>
      <c r="B71" s="57"/>
      <c r="C71" s="149" t="s">
        <v>7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1"/>
      <c r="X71" s="5"/>
      <c r="Y71" s="5"/>
      <c r="Z71" s="5"/>
    </row>
    <row r="72" spans="1:26" ht="16.899999999999999" customHeight="1" x14ac:dyDescent="0.25">
      <c r="A72" s="128" t="s">
        <v>80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  <c r="X72" s="3"/>
      <c r="Y72" s="3"/>
      <c r="Z72" s="3"/>
    </row>
    <row r="73" spans="1:26" ht="17.25" customHeight="1" x14ac:dyDescent="0.25">
      <c r="A73" s="34" t="s">
        <v>46</v>
      </c>
      <c r="B73" s="58"/>
      <c r="C73" s="135" t="s">
        <v>26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7"/>
      <c r="X73" s="3"/>
      <c r="Y73" s="3"/>
      <c r="Z73" s="3"/>
    </row>
    <row r="74" spans="1:26" ht="31.5" x14ac:dyDescent="0.25">
      <c r="A74" s="31" t="s">
        <v>129</v>
      </c>
      <c r="B74" s="26" t="s">
        <v>156</v>
      </c>
      <c r="C74" s="68" t="s">
        <v>130</v>
      </c>
      <c r="D74" s="47">
        <v>301.35000000000002</v>
      </c>
      <c r="E74" s="42">
        <f>D74</f>
        <v>301.35000000000002</v>
      </c>
      <c r="F74" s="47"/>
      <c r="G74" s="47"/>
      <c r="H74" s="47"/>
      <c r="I74" s="47"/>
      <c r="J74" s="47"/>
      <c r="K74" s="47"/>
      <c r="L74" s="30">
        <f>E74+F74+J74+K74</f>
        <v>301.35000000000002</v>
      </c>
      <c r="M74" s="30">
        <f t="shared" ref="M74:M76" si="8">L74</f>
        <v>301.35000000000002</v>
      </c>
      <c r="N74" s="47"/>
      <c r="O74" s="55">
        <v>0</v>
      </c>
      <c r="P74" s="55">
        <v>0</v>
      </c>
      <c r="Q74" s="55">
        <f>M74</f>
        <v>301.35000000000002</v>
      </c>
      <c r="R74" s="55">
        <v>0</v>
      </c>
      <c r="S74" s="37">
        <f>D74/W74*12</f>
        <v>39.560867857540565</v>
      </c>
      <c r="T74" s="47"/>
      <c r="U74" s="65">
        <f>23*547.5+53*456.25</f>
        <v>36773.75</v>
      </c>
      <c r="V74" s="47"/>
      <c r="W74" s="38">
        <f t="shared" ref="W74:W78" si="9">U74*2.4857/1000</f>
        <v>91.408510374999992</v>
      </c>
      <c r="X74" s="22"/>
      <c r="Y74" s="22"/>
      <c r="Z74" s="22"/>
    </row>
    <row r="75" spans="1:26" ht="31.5" x14ac:dyDescent="0.25">
      <c r="A75" s="31" t="s">
        <v>131</v>
      </c>
      <c r="B75" s="26" t="s">
        <v>132</v>
      </c>
      <c r="C75" s="68" t="s">
        <v>130</v>
      </c>
      <c r="D75" s="47">
        <v>627.33000000000004</v>
      </c>
      <c r="E75" s="42">
        <f t="shared" ref="E75:E77" si="10">D75</f>
        <v>627.33000000000004</v>
      </c>
      <c r="F75" s="47"/>
      <c r="G75" s="47"/>
      <c r="H75" s="47"/>
      <c r="I75" s="47"/>
      <c r="J75" s="47"/>
      <c r="K75" s="47"/>
      <c r="L75" s="30">
        <f>E75+F75+J75+K75</f>
        <v>627.33000000000004</v>
      </c>
      <c r="M75" s="30">
        <f t="shared" si="8"/>
        <v>627.33000000000004</v>
      </c>
      <c r="N75" s="47"/>
      <c r="O75" s="55">
        <v>0</v>
      </c>
      <c r="P75" s="55">
        <v>0</v>
      </c>
      <c r="Q75" s="55">
        <v>0</v>
      </c>
      <c r="R75" s="55">
        <f>M75</f>
        <v>627.33000000000004</v>
      </c>
      <c r="S75" s="37">
        <f>D75/W75*12</f>
        <v>69.143996812452158</v>
      </c>
      <c r="T75" s="47"/>
      <c r="U75" s="79">
        <f>10*1460+10*2920</f>
        <v>43800</v>
      </c>
      <c r="V75" s="47"/>
      <c r="W75" s="38">
        <f t="shared" si="9"/>
        <v>108.87366</v>
      </c>
      <c r="X75" s="22"/>
      <c r="Y75" s="22"/>
      <c r="Z75" s="22"/>
    </row>
    <row r="76" spans="1:26" ht="31.5" x14ac:dyDescent="0.25">
      <c r="A76" s="31" t="s">
        <v>133</v>
      </c>
      <c r="B76" s="27" t="s">
        <v>134</v>
      </c>
      <c r="C76" s="67" t="s">
        <v>135</v>
      </c>
      <c r="D76" s="47">
        <v>150.66999999999999</v>
      </c>
      <c r="E76" s="42">
        <f t="shared" si="10"/>
        <v>150.66999999999999</v>
      </c>
      <c r="F76" s="47"/>
      <c r="G76" s="47"/>
      <c r="H76" s="47"/>
      <c r="I76" s="47"/>
      <c r="J76" s="47"/>
      <c r="K76" s="47"/>
      <c r="L76" s="30">
        <f>E76+F76+J76+K76</f>
        <v>150.66999999999999</v>
      </c>
      <c r="M76" s="30">
        <f t="shared" si="8"/>
        <v>150.66999999999999</v>
      </c>
      <c r="N76" s="47"/>
      <c r="O76" s="55">
        <v>0</v>
      </c>
      <c r="P76" s="55">
        <v>0</v>
      </c>
      <c r="Q76" s="55">
        <f>M76</f>
        <v>150.66999999999999</v>
      </c>
      <c r="R76" s="55">
        <v>0</v>
      </c>
      <c r="S76" s="37">
        <f>D76/W76*12</f>
        <v>9.4000593708756384</v>
      </c>
      <c r="T76" s="47"/>
      <c r="U76" s="79">
        <f>53*1460</f>
        <v>77380</v>
      </c>
      <c r="V76" s="47"/>
      <c r="W76" s="38">
        <f t="shared" si="9"/>
        <v>192.34346600000001</v>
      </c>
      <c r="X76" s="22"/>
      <c r="Y76" s="22"/>
      <c r="Z76" s="22"/>
    </row>
    <row r="77" spans="1:26" ht="31.5" x14ac:dyDescent="0.25">
      <c r="A77" s="31" t="s">
        <v>136</v>
      </c>
      <c r="B77" s="26" t="s">
        <v>140</v>
      </c>
      <c r="C77" s="68" t="s">
        <v>135</v>
      </c>
      <c r="D77" s="47">
        <v>386.53</v>
      </c>
      <c r="E77" s="42">
        <f t="shared" si="10"/>
        <v>386.53</v>
      </c>
      <c r="F77" s="47"/>
      <c r="G77" s="47"/>
      <c r="H77" s="47"/>
      <c r="I77" s="47"/>
      <c r="J77" s="47"/>
      <c r="K77" s="47"/>
      <c r="L77" s="30">
        <f>E77+F77+J77+K77</f>
        <v>386.53</v>
      </c>
      <c r="M77" s="30">
        <f>L77</f>
        <v>386.53</v>
      </c>
      <c r="N77" s="47"/>
      <c r="O77" s="55">
        <v>0</v>
      </c>
      <c r="P77" s="55">
        <f>M77</f>
        <v>386.53</v>
      </c>
      <c r="Q77" s="55">
        <v>0</v>
      </c>
      <c r="R77" s="55">
        <v>0</v>
      </c>
      <c r="S77" s="37">
        <f>D77/W77*12</f>
        <v>13.278901411072219</v>
      </c>
      <c r="T77" s="47"/>
      <c r="U77" s="79">
        <f>70*2007.5</f>
        <v>140525</v>
      </c>
      <c r="V77" s="47"/>
      <c r="W77" s="38">
        <f t="shared" si="9"/>
        <v>349.30299250000002</v>
      </c>
      <c r="X77" s="22"/>
      <c r="Y77" s="22"/>
      <c r="Z77" s="22"/>
    </row>
    <row r="78" spans="1:26" ht="70.5" customHeight="1" x14ac:dyDescent="0.25">
      <c r="A78" s="31" t="s">
        <v>152</v>
      </c>
      <c r="B78" s="32" t="s">
        <v>153</v>
      </c>
      <c r="C78" s="67" t="s">
        <v>201</v>
      </c>
      <c r="D78" s="47">
        <v>153.16</v>
      </c>
      <c r="E78" s="42" t="s">
        <v>164</v>
      </c>
      <c r="F78" s="47"/>
      <c r="G78" s="47"/>
      <c r="H78" s="47"/>
      <c r="I78" s="42">
        <v>153.16</v>
      </c>
      <c r="J78" s="47"/>
      <c r="K78" s="47"/>
      <c r="L78" s="30" t="s">
        <v>164</v>
      </c>
      <c r="M78" s="30">
        <v>153.16</v>
      </c>
      <c r="N78" s="94"/>
      <c r="O78" s="55">
        <v>0</v>
      </c>
      <c r="P78" s="55">
        <v>153.16</v>
      </c>
      <c r="Q78" s="55">
        <v>0</v>
      </c>
      <c r="R78" s="55">
        <v>0</v>
      </c>
      <c r="S78" s="37">
        <f>D78/W78*12</f>
        <v>6.1386247642868392</v>
      </c>
      <c r="T78" s="47"/>
      <c r="U78" s="42">
        <v>120450</v>
      </c>
      <c r="V78" s="47"/>
      <c r="W78" s="38">
        <f t="shared" si="9"/>
        <v>299.40256499999998</v>
      </c>
      <c r="X78" s="70"/>
      <c r="Y78" s="70"/>
      <c r="Z78" s="70"/>
    </row>
    <row r="79" spans="1:26" ht="15.75" x14ac:dyDescent="0.25">
      <c r="A79" s="148" t="s">
        <v>48</v>
      </c>
      <c r="B79" s="148"/>
      <c r="C79" s="148"/>
      <c r="D79" s="86">
        <f>SUM(D74:D78)</f>
        <v>1619.0400000000002</v>
      </c>
      <c r="E79" s="86">
        <f>SUM(E74:E77)</f>
        <v>1465.88</v>
      </c>
      <c r="F79" s="36"/>
      <c r="G79" s="36"/>
      <c r="H79" s="36"/>
      <c r="I79" s="48">
        <f>I78</f>
        <v>153.16</v>
      </c>
      <c r="J79" s="36"/>
      <c r="K79" s="36"/>
      <c r="L79" s="48">
        <f>SUM(L74:L77)</f>
        <v>1465.88</v>
      </c>
      <c r="M79" s="48">
        <f>M74+M75+M77+M76+M78</f>
        <v>1619.0400000000002</v>
      </c>
      <c r="N79" s="39"/>
      <c r="O79" s="39">
        <f>SUM(O74:O78)</f>
        <v>0</v>
      </c>
      <c r="P79" s="39">
        <f>SUM(P74:P78)</f>
        <v>539.68999999999994</v>
      </c>
      <c r="Q79" s="39">
        <f>SUM(Q74:Q77)</f>
        <v>452.02</v>
      </c>
      <c r="R79" s="39">
        <f>SUM(R74:R78)</f>
        <v>627.33000000000004</v>
      </c>
      <c r="S79" s="44"/>
      <c r="T79" s="86"/>
      <c r="U79" s="44">
        <f>SUM(U74:U78)</f>
        <v>418928.75</v>
      </c>
      <c r="V79" s="87"/>
      <c r="W79" s="39">
        <f>SUM(W74:W78)</f>
        <v>1041.3311938749998</v>
      </c>
      <c r="X79" s="5"/>
      <c r="Y79" s="5"/>
      <c r="Z79" s="5"/>
    </row>
    <row r="80" spans="1:26" ht="14.25" customHeight="1" x14ac:dyDescent="0.2">
      <c r="A80" s="34" t="s">
        <v>47</v>
      </c>
      <c r="B80" s="135" t="s">
        <v>17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7"/>
      <c r="X80" s="3"/>
      <c r="Y80" s="3"/>
      <c r="Z80" s="3"/>
    </row>
    <row r="81" spans="1:26" ht="15" customHeight="1" x14ac:dyDescent="0.25">
      <c r="A81" s="34" t="s">
        <v>86</v>
      </c>
      <c r="B81" s="69" t="s">
        <v>127</v>
      </c>
      <c r="C81" s="83" t="s">
        <v>137</v>
      </c>
      <c r="D81" s="38">
        <v>55</v>
      </c>
      <c r="E81" s="38">
        <f>D81</f>
        <v>55</v>
      </c>
      <c r="F81" s="36"/>
      <c r="G81" s="36"/>
      <c r="H81" s="36"/>
      <c r="I81" s="36"/>
      <c r="J81" s="36"/>
      <c r="K81" s="77"/>
      <c r="L81" s="30">
        <f>E81+F81+J81+K81</f>
        <v>55</v>
      </c>
      <c r="M81" s="30">
        <f t="shared" ref="M81:M82" si="11">L81</f>
        <v>55</v>
      </c>
      <c r="N81" s="51"/>
      <c r="O81" s="38">
        <v>0</v>
      </c>
      <c r="P81" s="38">
        <v>0</v>
      </c>
      <c r="Q81" s="38">
        <v>0</v>
      </c>
      <c r="R81" s="50">
        <f>M81</f>
        <v>55</v>
      </c>
      <c r="S81" s="37" t="s">
        <v>164</v>
      </c>
      <c r="T81" s="46"/>
      <c r="U81" s="46" t="s">
        <v>164</v>
      </c>
      <c r="V81" s="77"/>
      <c r="W81" s="38" t="s">
        <v>164</v>
      </c>
      <c r="X81" s="3"/>
      <c r="Y81" s="3"/>
      <c r="Z81" s="3"/>
    </row>
    <row r="82" spans="1:26" ht="15.75" x14ac:dyDescent="0.25">
      <c r="A82" s="128" t="s">
        <v>49</v>
      </c>
      <c r="B82" s="129"/>
      <c r="C82" s="130"/>
      <c r="D82" s="97">
        <f>D81</f>
        <v>55</v>
      </c>
      <c r="E82" s="97">
        <f>E81</f>
        <v>55</v>
      </c>
      <c r="F82" s="77"/>
      <c r="G82" s="77"/>
      <c r="H82" s="77"/>
      <c r="I82" s="77"/>
      <c r="J82" s="77"/>
      <c r="K82" s="77"/>
      <c r="L82" s="48">
        <f>L81</f>
        <v>55</v>
      </c>
      <c r="M82" s="48">
        <f t="shared" si="11"/>
        <v>55</v>
      </c>
      <c r="N82" s="51"/>
      <c r="O82" s="39">
        <f>O81</f>
        <v>0</v>
      </c>
      <c r="P82" s="39">
        <f t="shared" ref="P82:R82" si="12">P81</f>
        <v>0</v>
      </c>
      <c r="Q82" s="39">
        <f t="shared" si="12"/>
        <v>0</v>
      </c>
      <c r="R82" s="39">
        <f t="shared" si="12"/>
        <v>55</v>
      </c>
      <c r="S82" s="44"/>
      <c r="T82" s="76"/>
      <c r="U82" s="76"/>
      <c r="V82" s="76"/>
      <c r="W82" s="39"/>
    </row>
    <row r="83" spans="1:26" ht="15.75" x14ac:dyDescent="0.25">
      <c r="A83" s="59" t="s">
        <v>56</v>
      </c>
      <c r="B83" s="132" t="s">
        <v>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4"/>
    </row>
    <row r="84" spans="1:26" ht="17.25" customHeight="1" x14ac:dyDescent="0.25">
      <c r="A84" s="125" t="s">
        <v>57</v>
      </c>
      <c r="B84" s="125"/>
      <c r="C84" s="125"/>
      <c r="D84" s="51"/>
      <c r="E84" s="77"/>
      <c r="F84" s="77"/>
      <c r="G84" s="77"/>
      <c r="H84" s="77"/>
      <c r="I84" s="77"/>
      <c r="J84" s="77"/>
      <c r="K84" s="77"/>
      <c r="L84" s="77"/>
      <c r="M84" s="51"/>
      <c r="N84" s="51"/>
      <c r="O84" s="51"/>
      <c r="P84" s="77"/>
      <c r="Q84" s="77"/>
      <c r="R84" s="77"/>
      <c r="S84" s="76"/>
      <c r="T84" s="76"/>
      <c r="U84" s="76"/>
      <c r="V84" s="49"/>
      <c r="W84" s="49"/>
    </row>
    <row r="85" spans="1:26" ht="17.25" customHeight="1" x14ac:dyDescent="0.2">
      <c r="A85" s="40" t="s">
        <v>50</v>
      </c>
      <c r="B85" s="145" t="s">
        <v>21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7"/>
      <c r="X85" s="3"/>
      <c r="Y85" s="3"/>
      <c r="Z85" s="3"/>
    </row>
    <row r="86" spans="1:26" ht="15.75" x14ac:dyDescent="0.25">
      <c r="A86" s="128" t="s">
        <v>58</v>
      </c>
      <c r="B86" s="129"/>
      <c r="C86" s="130"/>
      <c r="D86" s="33"/>
      <c r="E86" s="33"/>
      <c r="F86" s="76"/>
      <c r="G86" s="76"/>
      <c r="H86" s="77"/>
      <c r="I86" s="77"/>
      <c r="J86" s="77"/>
      <c r="K86" s="77"/>
      <c r="L86" s="33"/>
      <c r="M86" s="33"/>
      <c r="N86" s="33"/>
      <c r="O86" s="33"/>
      <c r="P86" s="33"/>
      <c r="Q86" s="33"/>
      <c r="R86" s="33"/>
      <c r="S86" s="39"/>
      <c r="T86" s="76"/>
      <c r="U86" s="39"/>
      <c r="V86" s="39"/>
      <c r="W86" s="60"/>
    </row>
    <row r="87" spans="1:26" ht="15.75" x14ac:dyDescent="0.25">
      <c r="A87" s="61" t="s">
        <v>59</v>
      </c>
      <c r="B87" s="132" t="s">
        <v>19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4"/>
    </row>
    <row r="88" spans="1:26" ht="81.75" customHeight="1" x14ac:dyDescent="0.25">
      <c r="A88" s="31" t="s">
        <v>138</v>
      </c>
      <c r="B88" s="32" t="s">
        <v>139</v>
      </c>
      <c r="C88" s="68" t="s">
        <v>163</v>
      </c>
      <c r="D88" s="76">
        <v>406.56</v>
      </c>
      <c r="E88" s="77">
        <f>D88</f>
        <v>406.56</v>
      </c>
      <c r="F88" s="36"/>
      <c r="G88" s="36"/>
      <c r="H88" s="36"/>
      <c r="I88" s="36" t="s">
        <v>164</v>
      </c>
      <c r="J88" s="36"/>
      <c r="K88" s="77"/>
      <c r="L88" s="77">
        <f>D88</f>
        <v>406.56</v>
      </c>
      <c r="M88" s="87" t="s">
        <v>164</v>
      </c>
      <c r="N88" s="77">
        <v>406.56</v>
      </c>
      <c r="O88" s="38">
        <v>0</v>
      </c>
      <c r="P88" s="77">
        <v>135.52000000000001</v>
      </c>
      <c r="Q88" s="77">
        <v>135.52000000000001</v>
      </c>
      <c r="R88" s="77">
        <v>135.52000000000001</v>
      </c>
      <c r="S88" s="37" t="s">
        <v>164</v>
      </c>
      <c r="T88" s="77"/>
      <c r="U88" s="87" t="s">
        <v>164</v>
      </c>
      <c r="V88" s="76"/>
      <c r="W88" s="38" t="s">
        <v>164</v>
      </c>
    </row>
    <row r="89" spans="1:26" ht="34.5" customHeight="1" x14ac:dyDescent="0.25">
      <c r="A89" s="31" t="s">
        <v>154</v>
      </c>
      <c r="B89" s="95" t="s">
        <v>155</v>
      </c>
      <c r="C89" s="96" t="s">
        <v>162</v>
      </c>
      <c r="D89" s="97">
        <v>72.802999999999997</v>
      </c>
      <c r="E89" s="87" t="s">
        <v>164</v>
      </c>
      <c r="F89" s="36"/>
      <c r="G89" s="36"/>
      <c r="H89" s="36"/>
      <c r="I89" s="91">
        <v>72.802999999999997</v>
      </c>
      <c r="J89" s="36"/>
      <c r="K89" s="87"/>
      <c r="L89" s="87" t="s">
        <v>164</v>
      </c>
      <c r="M89" s="87" t="s">
        <v>164</v>
      </c>
      <c r="N89" s="38">
        <v>72.8</v>
      </c>
      <c r="O89" s="38">
        <v>0</v>
      </c>
      <c r="P89" s="38">
        <v>72.802999999999997</v>
      </c>
      <c r="Q89" s="38">
        <v>0</v>
      </c>
      <c r="R89" s="38">
        <v>0</v>
      </c>
      <c r="S89" s="37" t="s">
        <v>164</v>
      </c>
      <c r="T89" s="87"/>
      <c r="U89" s="87" t="s">
        <v>164</v>
      </c>
      <c r="V89" s="98"/>
      <c r="W89" s="99" t="s">
        <v>164</v>
      </c>
    </row>
    <row r="90" spans="1:26" ht="34.5" customHeight="1" x14ac:dyDescent="0.25">
      <c r="A90" s="31" t="s">
        <v>205</v>
      </c>
      <c r="B90" s="95" t="s">
        <v>207</v>
      </c>
      <c r="C90" s="104" t="s">
        <v>209</v>
      </c>
      <c r="D90" s="97">
        <v>68.31</v>
      </c>
      <c r="E90" s="103" t="s">
        <v>164</v>
      </c>
      <c r="F90" s="36"/>
      <c r="G90" s="36"/>
      <c r="H90" s="36"/>
      <c r="I90" s="91">
        <v>68.31</v>
      </c>
      <c r="J90" s="36"/>
      <c r="K90" s="103"/>
      <c r="L90" s="103" t="s">
        <v>164</v>
      </c>
      <c r="M90" s="103" t="s">
        <v>164</v>
      </c>
      <c r="N90" s="38">
        <v>68.31</v>
      </c>
      <c r="O90" s="38">
        <v>0</v>
      </c>
      <c r="P90" s="38">
        <v>0</v>
      </c>
      <c r="Q90" s="103">
        <v>68.31</v>
      </c>
      <c r="R90" s="38">
        <v>0</v>
      </c>
      <c r="S90" s="37" t="s">
        <v>164</v>
      </c>
      <c r="T90" s="103"/>
      <c r="U90" s="103" t="s">
        <v>164</v>
      </c>
      <c r="V90" s="98"/>
      <c r="W90" s="99" t="s">
        <v>164</v>
      </c>
    </row>
    <row r="91" spans="1:26" ht="34.5" customHeight="1" x14ac:dyDescent="0.25">
      <c r="A91" s="31" t="s">
        <v>206</v>
      </c>
      <c r="B91" s="95" t="s">
        <v>208</v>
      </c>
      <c r="C91" s="104" t="s">
        <v>210</v>
      </c>
      <c r="D91" s="97">
        <v>88.37</v>
      </c>
      <c r="E91" s="103" t="s">
        <v>164</v>
      </c>
      <c r="F91" s="36"/>
      <c r="G91" s="36"/>
      <c r="H91" s="36"/>
      <c r="I91" s="91">
        <v>88.37</v>
      </c>
      <c r="J91" s="36"/>
      <c r="K91" s="103"/>
      <c r="L91" s="103" t="s">
        <v>164</v>
      </c>
      <c r="M91" s="103" t="s">
        <v>164</v>
      </c>
      <c r="N91" s="38">
        <v>88.37</v>
      </c>
      <c r="O91" s="38">
        <v>0</v>
      </c>
      <c r="P91" s="38">
        <v>0</v>
      </c>
      <c r="Q91" s="38">
        <v>0</v>
      </c>
      <c r="R91" s="103">
        <v>88.37</v>
      </c>
      <c r="S91" s="37" t="s">
        <v>164</v>
      </c>
      <c r="T91" s="103"/>
      <c r="U91" s="103" t="s">
        <v>164</v>
      </c>
      <c r="V91" s="98"/>
      <c r="W91" s="99" t="s">
        <v>164</v>
      </c>
    </row>
    <row r="92" spans="1:26" ht="16.5" customHeight="1" x14ac:dyDescent="0.25">
      <c r="A92" s="128" t="s">
        <v>60</v>
      </c>
      <c r="B92" s="129"/>
      <c r="C92" s="130"/>
      <c r="D92" s="97">
        <f>SUM(D88+D89+D90+D91)</f>
        <v>636.04300000000001</v>
      </c>
      <c r="E92" s="86">
        <f>E88</f>
        <v>406.56</v>
      </c>
      <c r="F92" s="36"/>
      <c r="G92" s="36"/>
      <c r="H92" s="36"/>
      <c r="I92" s="48">
        <f>I89+I90+I91</f>
        <v>229.483</v>
      </c>
      <c r="J92" s="36"/>
      <c r="K92" s="87"/>
      <c r="L92" s="86">
        <f>L88</f>
        <v>406.56</v>
      </c>
      <c r="M92" s="86"/>
      <c r="N92" s="39">
        <f>N88+N89+N90+N91</f>
        <v>636.04000000000008</v>
      </c>
      <c r="O92" s="39">
        <f t="shared" ref="O92" si="13">O88</f>
        <v>0</v>
      </c>
      <c r="P92" s="86">
        <f>P88+P89</f>
        <v>208.32300000000001</v>
      </c>
      <c r="Q92" s="86">
        <f>Q88+Q90</f>
        <v>203.83</v>
      </c>
      <c r="R92" s="86">
        <f>R88+R91</f>
        <v>223.89000000000001</v>
      </c>
      <c r="S92" s="44"/>
      <c r="T92" s="86"/>
      <c r="U92" s="86"/>
      <c r="V92" s="100"/>
      <c r="W92" s="101"/>
    </row>
    <row r="93" spans="1:26" ht="0.75" hidden="1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6" ht="15" customHeight="1" x14ac:dyDescent="0.25">
      <c r="A94" s="31" t="s">
        <v>61</v>
      </c>
      <c r="B94" s="132" t="s">
        <v>22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4"/>
    </row>
    <row r="95" spans="1:26" ht="15" customHeight="1" x14ac:dyDescent="0.25">
      <c r="A95" s="128" t="s">
        <v>62</v>
      </c>
      <c r="B95" s="129"/>
      <c r="C95" s="130"/>
      <c r="D95" s="78"/>
      <c r="E95" s="78"/>
      <c r="F95" s="62"/>
      <c r="G95" s="62"/>
      <c r="H95" s="62"/>
      <c r="I95" s="62"/>
      <c r="J95" s="62"/>
      <c r="K95" s="62"/>
      <c r="L95" s="78"/>
      <c r="M95" s="78"/>
      <c r="N95" s="62"/>
      <c r="O95" s="62"/>
      <c r="P95" s="62"/>
      <c r="Q95" s="62"/>
      <c r="R95" s="78"/>
      <c r="S95" s="62"/>
      <c r="T95" s="62"/>
      <c r="U95" s="62"/>
      <c r="V95" s="62"/>
      <c r="W95" s="62"/>
    </row>
    <row r="96" spans="1:26" ht="15.75" x14ac:dyDescent="0.25">
      <c r="A96" s="128" t="s">
        <v>28</v>
      </c>
      <c r="B96" s="129"/>
      <c r="C96" s="130"/>
      <c r="D96" s="33">
        <f>D79+D82+D92</f>
        <v>2310.0830000000001</v>
      </c>
      <c r="E96" s="33">
        <f>E79+E82+E92</f>
        <v>1927.44</v>
      </c>
      <c r="F96" s="76"/>
      <c r="G96" s="76"/>
      <c r="H96" s="76"/>
      <c r="I96" s="33">
        <f>I92+I79</f>
        <v>382.64300000000003</v>
      </c>
      <c r="J96" s="76"/>
      <c r="K96" s="76"/>
      <c r="L96" s="33">
        <f>L79+L82+L92</f>
        <v>1927.44</v>
      </c>
      <c r="M96" s="33">
        <f t="shared" ref="M96:R96" si="14">M79+M82+M92</f>
        <v>1674.0400000000002</v>
      </c>
      <c r="N96" s="33">
        <f t="shared" si="14"/>
        <v>636.04000000000008</v>
      </c>
      <c r="O96" s="33">
        <f t="shared" si="14"/>
        <v>0</v>
      </c>
      <c r="P96" s="33">
        <f t="shared" si="14"/>
        <v>748.01299999999992</v>
      </c>
      <c r="Q96" s="33">
        <f t="shared" si="14"/>
        <v>655.85</v>
      </c>
      <c r="R96" s="33">
        <f t="shared" si="14"/>
        <v>906.22</v>
      </c>
      <c r="S96" s="45"/>
      <c r="T96" s="49"/>
      <c r="U96" s="45">
        <f>U79+U82+U92</f>
        <v>418928.75</v>
      </c>
      <c r="V96" s="49"/>
      <c r="W96" s="33">
        <f>W79+W82+W92</f>
        <v>1041.3311938749998</v>
      </c>
    </row>
    <row r="97" spans="1:23" ht="15.75" x14ac:dyDescent="0.25">
      <c r="A97" s="139" t="s">
        <v>71</v>
      </c>
      <c r="B97" s="140"/>
      <c r="C97" s="141"/>
      <c r="D97" s="33">
        <f>D70+D96</f>
        <v>5042.0130000000008</v>
      </c>
      <c r="E97" s="33">
        <f>E70+E96</f>
        <v>4050.0400000000004</v>
      </c>
      <c r="F97" s="36"/>
      <c r="G97" s="36"/>
      <c r="H97" s="36"/>
      <c r="I97" s="48">
        <f>I70+I79+I92</f>
        <v>991.97299999999996</v>
      </c>
      <c r="J97" s="36"/>
      <c r="K97" s="76"/>
      <c r="L97" s="41">
        <f>E97+F97+J97+K97</f>
        <v>4050.0400000000004</v>
      </c>
      <c r="M97" s="39">
        <f>M70+M96</f>
        <v>4405.97</v>
      </c>
      <c r="N97" s="39">
        <f t="shared" ref="N97:R97" si="15">N70+N96</f>
        <v>636.04000000000008</v>
      </c>
      <c r="O97" s="39">
        <f t="shared" si="15"/>
        <v>318.02</v>
      </c>
      <c r="P97" s="63">
        <f t="shared" si="15"/>
        <v>1330.4229999999998</v>
      </c>
      <c r="Q97" s="63">
        <f t="shared" si="15"/>
        <v>1394.6100000000001</v>
      </c>
      <c r="R97" s="33">
        <f t="shared" si="15"/>
        <v>1998.96</v>
      </c>
      <c r="S97" s="45"/>
      <c r="T97" s="49"/>
      <c r="U97" s="76">
        <f>U70+U96</f>
        <v>841755</v>
      </c>
      <c r="V97" s="39"/>
      <c r="W97" s="39">
        <f>W70+W96</f>
        <v>2092.3504034999996</v>
      </c>
    </row>
    <row r="98" spans="1:23" x14ac:dyDescent="0.2">
      <c r="A98" s="82" t="s">
        <v>30</v>
      </c>
      <c r="B98" s="6"/>
      <c r="C98" s="6"/>
      <c r="D98" s="6"/>
      <c r="E98" s="6"/>
      <c r="F98" s="7"/>
      <c r="G98" s="7"/>
      <c r="I98" s="2"/>
      <c r="J98" s="143"/>
      <c r="K98" s="143"/>
      <c r="L98" s="143"/>
      <c r="M98" s="143"/>
      <c r="N98" s="143"/>
      <c r="O98" s="2"/>
      <c r="P98" s="2"/>
      <c r="Q98" s="2"/>
      <c r="R98" s="2"/>
      <c r="S98" s="2"/>
      <c r="T98" s="2"/>
      <c r="U98" s="2"/>
      <c r="V98" s="1"/>
    </row>
    <row r="99" spans="1:23" x14ac:dyDescent="0.2">
      <c r="A99" s="4" t="s">
        <v>31</v>
      </c>
      <c r="B99" s="82"/>
      <c r="C99" s="5"/>
      <c r="D99" s="5"/>
      <c r="E99" s="5"/>
      <c r="F99" s="5"/>
      <c r="G99" s="5"/>
      <c r="H99" s="5"/>
      <c r="I99" s="5"/>
    </row>
    <row r="100" spans="1:23" x14ac:dyDescent="0.2">
      <c r="A100" s="4" t="s">
        <v>32</v>
      </c>
      <c r="B100" s="4"/>
      <c r="C100" s="5"/>
      <c r="D100" s="5"/>
      <c r="E100" s="5"/>
      <c r="F100" s="5"/>
      <c r="G100" s="5"/>
    </row>
    <row r="101" spans="1:23" x14ac:dyDescent="0.2">
      <c r="A101" s="4"/>
      <c r="B101" s="4"/>
      <c r="C101" s="5"/>
      <c r="D101" s="5"/>
      <c r="E101" s="5"/>
      <c r="F101" s="5"/>
      <c r="G101" s="5"/>
    </row>
    <row r="102" spans="1:23" x14ac:dyDescent="0.2">
      <c r="A102" s="4"/>
      <c r="B102" s="4"/>
      <c r="C102" s="5"/>
      <c r="D102" s="5"/>
      <c r="E102" s="5"/>
      <c r="F102" s="5"/>
      <c r="G102" s="5"/>
    </row>
    <row r="103" spans="1:23" ht="18.75" x14ac:dyDescent="0.3">
      <c r="A103" s="142"/>
      <c r="B103" s="142"/>
      <c r="C103" s="142"/>
      <c r="D103" s="142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23" ht="24" customHeight="1" x14ac:dyDescent="0.3">
      <c r="A104" s="66" t="s">
        <v>167</v>
      </c>
      <c r="B104" s="66"/>
      <c r="C104" s="66"/>
      <c r="D104" s="66"/>
      <c r="E104" s="66"/>
      <c r="F104" s="66"/>
      <c r="G104" s="66"/>
      <c r="H104" s="66"/>
      <c r="I104" s="66"/>
      <c r="J104" s="17"/>
      <c r="K104" s="17"/>
      <c r="L104" s="17"/>
      <c r="M104" s="17"/>
      <c r="N104" s="17"/>
    </row>
    <row r="105" spans="1:23" ht="18.75" x14ac:dyDescent="0.3">
      <c r="A105" s="138"/>
      <c r="B105" s="138"/>
      <c r="C105" s="138"/>
      <c r="D105" s="17"/>
      <c r="E105" s="123"/>
      <c r="F105" s="123"/>
      <c r="G105" s="123"/>
      <c r="H105" s="105"/>
      <c r="I105" s="105"/>
    </row>
    <row r="107" spans="1:23" x14ac:dyDescent="0.2">
      <c r="C107" s="10" t="s">
        <v>157</v>
      </c>
      <c r="D107" s="10">
        <v>4050.04</v>
      </c>
    </row>
    <row r="108" spans="1:23" x14ac:dyDescent="0.2">
      <c r="C108" s="10" t="s">
        <v>158</v>
      </c>
      <c r="D108" s="74">
        <f>382.64+609.33</f>
        <v>991.97</v>
      </c>
    </row>
    <row r="109" spans="1:23" x14ac:dyDescent="0.2">
      <c r="D109" s="10">
        <f>SUM(D107:D108)</f>
        <v>5042.01</v>
      </c>
    </row>
    <row r="110" spans="1:23" x14ac:dyDescent="0.2">
      <c r="C110" s="10" t="s">
        <v>159</v>
      </c>
      <c r="D110" s="10">
        <v>609.33000000000004</v>
      </c>
    </row>
    <row r="111" spans="1:23" x14ac:dyDescent="0.2">
      <c r="C111" s="10" t="s">
        <v>160</v>
      </c>
      <c r="D111" s="10">
        <v>382.64</v>
      </c>
    </row>
  </sheetData>
  <mergeCells count="79">
    <mergeCell ref="J98:N98"/>
    <mergeCell ref="N6:W6"/>
    <mergeCell ref="N5:W5"/>
    <mergeCell ref="N8:W8"/>
    <mergeCell ref="N9:W9"/>
    <mergeCell ref="B85:W85"/>
    <mergeCell ref="A79:C79"/>
    <mergeCell ref="C71:W71"/>
    <mergeCell ref="B87:W87"/>
    <mergeCell ref="C65:W65"/>
    <mergeCell ref="A82:C82"/>
    <mergeCell ref="A66:C66"/>
    <mergeCell ref="A51:C51"/>
    <mergeCell ref="A60:C60"/>
    <mergeCell ref="C57:W57"/>
    <mergeCell ref="A62:C62"/>
    <mergeCell ref="A72:W72"/>
    <mergeCell ref="C55:W55"/>
    <mergeCell ref="C73:W73"/>
    <mergeCell ref="A70:C70"/>
    <mergeCell ref="C63:W63"/>
    <mergeCell ref="E105:G105"/>
    <mergeCell ref="A105:C105"/>
    <mergeCell ref="A95:C95"/>
    <mergeCell ref="A92:C92"/>
    <mergeCell ref="A97:C97"/>
    <mergeCell ref="A103:D103"/>
    <mergeCell ref="A96:C96"/>
    <mergeCell ref="B83:W83"/>
    <mergeCell ref="A84:C84"/>
    <mergeCell ref="B94:W94"/>
    <mergeCell ref="B80:W80"/>
    <mergeCell ref="A86:C86"/>
    <mergeCell ref="H105:I105"/>
    <mergeCell ref="A69:C69"/>
    <mergeCell ref="M18:M20"/>
    <mergeCell ref="C24:W24"/>
    <mergeCell ref="A14:T14"/>
    <mergeCell ref="F19:F20"/>
    <mergeCell ref="H19:I19"/>
    <mergeCell ref="D18:D20"/>
    <mergeCell ref="C22:W22"/>
    <mergeCell ref="E19:E20"/>
    <mergeCell ref="A64:C64"/>
    <mergeCell ref="C68:W68"/>
    <mergeCell ref="A56:C56"/>
    <mergeCell ref="A23:W23"/>
    <mergeCell ref="C52:W52"/>
    <mergeCell ref="A54:C54"/>
    <mergeCell ref="P1:W1"/>
    <mergeCell ref="B6:E6"/>
    <mergeCell ref="M17:N17"/>
    <mergeCell ref="O17:R17"/>
    <mergeCell ref="B17:B20"/>
    <mergeCell ref="C17:C20"/>
    <mergeCell ref="W17:W20"/>
    <mergeCell ref="N18:N20"/>
    <mergeCell ref="B5:E5"/>
    <mergeCell ref="B8:E8"/>
    <mergeCell ref="B7:E7"/>
    <mergeCell ref="A16:W16"/>
    <mergeCell ref="D17:I17"/>
    <mergeCell ref="J17:J20"/>
    <mergeCell ref="A17:A20"/>
    <mergeCell ref="N10:W10"/>
    <mergeCell ref="X17:X20"/>
    <mergeCell ref="U17:U20"/>
    <mergeCell ref="V17:V20"/>
    <mergeCell ref="G19:G20"/>
    <mergeCell ref="L17:L20"/>
    <mergeCell ref="P18:P20"/>
    <mergeCell ref="K17:K20"/>
    <mergeCell ref="R18:R20"/>
    <mergeCell ref="T17:T20"/>
    <mergeCell ref="E18:I18"/>
    <mergeCell ref="O18:O20"/>
    <mergeCell ref="Q18:Q20"/>
    <mergeCell ref="S17:S20"/>
    <mergeCell ref="A15:W15"/>
  </mergeCells>
  <phoneticPr fontId="1" type="noConversion"/>
  <pageMargins left="0.39370078740157483" right="0.39370078740157483" top="0.78740157480314965" bottom="0.39370078740157483" header="0" footer="0"/>
  <pageSetup paperSize="9" scale="44" fitToWidth="2" fitToHeight="4" orientation="landscape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2020-06-26T07:17:59Z</cp:lastPrinted>
  <dcterms:created xsi:type="dcterms:W3CDTF">2011-09-13T12:33:42Z</dcterms:created>
  <dcterms:modified xsi:type="dcterms:W3CDTF">2020-07-01T10:06:22Z</dcterms:modified>
</cp:coreProperties>
</file>