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945" windowWidth="16560" windowHeight="11010"/>
  </bookViews>
  <sheets>
    <sheet name="отчет" sheetId="2" r:id="rId1"/>
    <sheet name="порівн.х-ка" sheetId="5" r:id="rId2"/>
    <sheet name="зпл." sheetId="4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I16" i="2"/>
  <c r="L16"/>
  <c r="J23"/>
  <c r="K23"/>
  <c r="L23"/>
  <c r="L17"/>
  <c r="C22" i="5"/>
  <c r="J51"/>
  <c r="J53" s="1"/>
  <c r="I47"/>
  <c r="J48"/>
  <c r="C20"/>
  <c r="B34"/>
  <c r="C19"/>
  <c r="C17"/>
  <c r="K50" i="2"/>
  <c r="K47"/>
  <c r="L49"/>
  <c r="L48"/>
  <c r="L47"/>
  <c r="L46"/>
  <c r="L45"/>
  <c r="L44"/>
  <c r="L43"/>
  <c r="L42"/>
  <c r="L41"/>
  <c r="L29"/>
  <c r="K34"/>
  <c r="L36"/>
  <c r="L35"/>
  <c r="L34"/>
  <c r="L33"/>
  <c r="L32"/>
  <c r="L31"/>
  <c r="L30"/>
  <c r="L28"/>
  <c r="K22"/>
  <c r="K21"/>
  <c r="K20"/>
  <c r="K19"/>
  <c r="G44" i="4"/>
  <c r="D44"/>
  <c r="F43"/>
  <c r="G43"/>
  <c r="E43"/>
  <c r="D43"/>
  <c r="F42"/>
  <c r="D42"/>
  <c r="G39"/>
  <c r="G38"/>
  <c r="G37"/>
  <c r="G36"/>
  <c r="G35"/>
  <c r="G34"/>
  <c r="F33"/>
  <c r="G33"/>
  <c r="E33"/>
  <c r="D33"/>
  <c r="D45"/>
  <c r="G32"/>
  <c r="G31"/>
  <c r="G30"/>
  <c r="G29"/>
  <c r="G28"/>
  <c r="F27"/>
  <c r="E27"/>
  <c r="E45"/>
  <c r="D27"/>
  <c r="G26"/>
  <c r="D26"/>
  <c r="F25"/>
  <c r="E25"/>
  <c r="G25"/>
  <c r="D25"/>
  <c r="F23"/>
  <c r="E23"/>
  <c r="G23"/>
  <c r="D23"/>
  <c r="F21"/>
  <c r="D21"/>
  <c r="G20"/>
  <c r="F19"/>
  <c r="F24"/>
  <c r="D19"/>
  <c r="D24"/>
  <c r="G18"/>
  <c r="G15"/>
  <c r="G14"/>
  <c r="G13"/>
  <c r="G11"/>
  <c r="B8" i="5"/>
  <c r="B24"/>
  <c r="J50" i="2"/>
  <c r="L50" s="1"/>
  <c r="K52" i="5"/>
  <c r="K48"/>
  <c r="B36"/>
  <c r="I53"/>
  <c r="I49"/>
  <c r="I48"/>
  <c r="H48"/>
  <c r="H47"/>
  <c r="H12"/>
  <c r="G13"/>
  <c r="G12"/>
  <c r="I12"/>
  <c r="G11"/>
  <c r="H13"/>
  <c r="I13"/>
  <c r="H11"/>
  <c r="I11"/>
  <c r="G18"/>
  <c r="G17"/>
  <c r="H17"/>
  <c r="H18"/>
  <c r="I18"/>
  <c r="J22" i="2"/>
  <c r="J40"/>
  <c r="J39"/>
  <c r="J46"/>
  <c r="J42"/>
  <c r="J34"/>
  <c r="J29"/>
  <c r="J27"/>
  <c r="J26"/>
  <c r="J21"/>
  <c r="J20"/>
  <c r="J19"/>
  <c r="L15"/>
  <c r="I47"/>
  <c r="I39"/>
  <c r="I42"/>
  <c r="I34"/>
  <c r="I29"/>
  <c r="I40"/>
  <c r="G31" i="5"/>
  <c r="L60" i="2"/>
  <c r="L58"/>
  <c r="L57"/>
  <c r="L56"/>
  <c r="L55"/>
  <c r="L21"/>
  <c r="L20"/>
  <c r="L19"/>
  <c r="I21"/>
  <c r="I20"/>
  <c r="I19"/>
  <c r="G47" i="5"/>
  <c r="G53"/>
  <c r="G49"/>
  <c r="G48"/>
  <c r="K51"/>
  <c r="B33" s="1"/>
  <c r="H53"/>
  <c r="H49"/>
  <c r="L44" i="4"/>
  <c r="K44"/>
  <c r="I44"/>
  <c r="R43"/>
  <c r="Q43"/>
  <c r="P43"/>
  <c r="O43"/>
  <c r="L43"/>
  <c r="K43"/>
  <c r="J43"/>
  <c r="I43"/>
  <c r="L42"/>
  <c r="K42"/>
  <c r="J42"/>
  <c r="I42"/>
  <c r="R33"/>
  <c r="Q33"/>
  <c r="P33"/>
  <c r="O33"/>
  <c r="L33"/>
  <c r="K33"/>
  <c r="J33"/>
  <c r="I33"/>
  <c r="I45"/>
  <c r="R27"/>
  <c r="R45"/>
  <c r="Q27"/>
  <c r="Q45"/>
  <c r="P27"/>
  <c r="P45"/>
  <c r="O27"/>
  <c r="O45"/>
  <c r="L27"/>
  <c r="L45"/>
  <c r="K27"/>
  <c r="K45"/>
  <c r="J27"/>
  <c r="J40"/>
  <c r="I27"/>
  <c r="L26"/>
  <c r="L40"/>
  <c r="R25"/>
  <c r="Q25"/>
  <c r="P25"/>
  <c r="O25"/>
  <c r="L25"/>
  <c r="K25"/>
  <c r="J25"/>
  <c r="I25"/>
  <c r="R23"/>
  <c r="Q23"/>
  <c r="P23"/>
  <c r="O23"/>
  <c r="L23"/>
  <c r="K23"/>
  <c r="J23"/>
  <c r="I23"/>
  <c r="L21"/>
  <c r="K21"/>
  <c r="J21"/>
  <c r="I21"/>
  <c r="L19"/>
  <c r="L24"/>
  <c r="K19"/>
  <c r="K24"/>
  <c r="J19"/>
  <c r="J24"/>
  <c r="I19"/>
  <c r="I24"/>
  <c r="Q16"/>
  <c r="Q42"/>
  <c r="O16"/>
  <c r="O42"/>
  <c r="E25" i="5"/>
  <c r="D19"/>
  <c r="H23" i="2"/>
  <c r="H21"/>
  <c r="H22"/>
  <c r="H20"/>
  <c r="H19"/>
  <c r="F42"/>
  <c r="F40"/>
  <c r="F39"/>
  <c r="G42"/>
  <c r="G40"/>
  <c r="G39"/>
  <c r="E42"/>
  <c r="E40"/>
  <c r="E39"/>
  <c r="D42"/>
  <c r="D40"/>
  <c r="D39"/>
  <c r="C42"/>
  <c r="C40"/>
  <c r="C39"/>
  <c r="H47"/>
  <c r="H42"/>
  <c r="F27"/>
  <c r="E27"/>
  <c r="D27"/>
  <c r="D26"/>
  <c r="F26"/>
  <c r="E26"/>
  <c r="C27"/>
  <c r="C26"/>
  <c r="H27"/>
  <c r="H26"/>
  <c r="H34"/>
  <c r="H29"/>
  <c r="R16"/>
  <c r="G36"/>
  <c r="G35"/>
  <c r="G34"/>
  <c r="G33"/>
  <c r="G32"/>
  <c r="G31"/>
  <c r="G30"/>
  <c r="G29"/>
  <c r="G28"/>
  <c r="G27"/>
  <c r="G26"/>
  <c r="P49"/>
  <c r="P48"/>
  <c r="P47"/>
  <c r="P46"/>
  <c r="P45"/>
  <c r="P44"/>
  <c r="P43"/>
  <c r="P41"/>
  <c r="P40"/>
  <c r="P39"/>
  <c r="P36"/>
  <c r="P35"/>
  <c r="P34"/>
  <c r="P33"/>
  <c r="P32"/>
  <c r="P31"/>
  <c r="P30"/>
  <c r="P28"/>
  <c r="N42"/>
  <c r="P42"/>
  <c r="N27"/>
  <c r="N26"/>
  <c r="S49"/>
  <c r="S48"/>
  <c r="S39"/>
  <c r="S47"/>
  <c r="S46"/>
  <c r="S45"/>
  <c r="S44"/>
  <c r="S40"/>
  <c r="S43"/>
  <c r="S42"/>
  <c r="S41"/>
  <c r="R49"/>
  <c r="R48"/>
  <c r="R47"/>
  <c r="R46"/>
  <c r="R45"/>
  <c r="R44"/>
  <c r="R43"/>
  <c r="R42"/>
  <c r="R41"/>
  <c r="R40"/>
  <c r="R39"/>
  <c r="Q49"/>
  <c r="Q48"/>
  <c r="Q47"/>
  <c r="Q46"/>
  <c r="Q45"/>
  <c r="Q44"/>
  <c r="Q43"/>
  <c r="Q42"/>
  <c r="Q40"/>
  <c r="Q39"/>
  <c r="Q41"/>
  <c r="S36"/>
  <c r="S26"/>
  <c r="S35"/>
  <c r="S34"/>
  <c r="S33"/>
  <c r="S32"/>
  <c r="S31"/>
  <c r="S30"/>
  <c r="S29"/>
  <c r="S27"/>
  <c r="S28"/>
  <c r="R36"/>
  <c r="R35"/>
  <c r="R26"/>
  <c r="R34"/>
  <c r="R33"/>
  <c r="R32"/>
  <c r="R31"/>
  <c r="R30"/>
  <c r="R29"/>
  <c r="R28"/>
  <c r="R27"/>
  <c r="Q36"/>
  <c r="Q35"/>
  <c r="Q34"/>
  <c r="Q26"/>
  <c r="Q33"/>
  <c r="Q32"/>
  <c r="Q31"/>
  <c r="Q30"/>
  <c r="Q29"/>
  <c r="Q28"/>
  <c r="Q27"/>
  <c r="T24"/>
  <c r="O42"/>
  <c r="O40"/>
  <c r="O39"/>
  <c r="O29"/>
  <c r="P29"/>
  <c r="T18"/>
  <c r="T17"/>
  <c r="F20"/>
  <c r="T16"/>
  <c r="F19"/>
  <c r="S18"/>
  <c r="S17"/>
  <c r="S16"/>
  <c r="R18"/>
  <c r="D21"/>
  <c r="G21"/>
  <c r="R17"/>
  <c r="Q18"/>
  <c r="C21"/>
  <c r="Q17"/>
  <c r="C20"/>
  <c r="Q16"/>
  <c r="C19"/>
  <c r="G19"/>
  <c r="T15"/>
  <c r="S15"/>
  <c r="U15"/>
  <c r="R15"/>
  <c r="Q15"/>
  <c r="D10" i="5"/>
  <c r="D9"/>
  <c r="E26"/>
  <c r="G17" i="2"/>
  <c r="G22"/>
  <c r="G16"/>
  <c r="F22"/>
  <c r="E22"/>
  <c r="G50"/>
  <c r="D20" i="5"/>
  <c r="C8"/>
  <c r="C24"/>
  <c r="D19" i="2"/>
  <c r="D27" i="5"/>
  <c r="D25"/>
  <c r="D23"/>
  <c r="D18"/>
  <c r="D17"/>
  <c r="D16"/>
  <c r="D15"/>
  <c r="D14"/>
  <c r="D13"/>
  <c r="D12"/>
  <c r="D11"/>
  <c r="E12"/>
  <c r="E13"/>
  <c r="E9"/>
  <c r="E10"/>
  <c r="E11"/>
  <c r="E14"/>
  <c r="E15"/>
  <c r="E16"/>
  <c r="E17"/>
  <c r="E18"/>
  <c r="E20"/>
  <c r="E23"/>
  <c r="G15" i="2"/>
  <c r="E19"/>
  <c r="D22"/>
  <c r="D20"/>
  <c r="E20"/>
  <c r="E21"/>
  <c r="F21"/>
  <c r="G23"/>
  <c r="K27"/>
  <c r="H40"/>
  <c r="H39"/>
  <c r="K40"/>
  <c r="L40"/>
  <c r="L51"/>
  <c r="L52"/>
  <c r="D26" i="5"/>
  <c r="C22" i="2"/>
  <c r="O27"/>
  <c r="O26"/>
  <c r="N40"/>
  <c r="N39"/>
  <c r="I40" i="4"/>
  <c r="K40"/>
  <c r="O40"/>
  <c r="Q40"/>
  <c r="J45"/>
  <c r="O19"/>
  <c r="O24"/>
  <c r="Q19"/>
  <c r="Q24"/>
  <c r="O21"/>
  <c r="Q21"/>
  <c r="D21" i="5"/>
  <c r="E21"/>
  <c r="D22"/>
  <c r="E22"/>
  <c r="G20" i="2"/>
  <c r="P27"/>
  <c r="P26"/>
  <c r="E19" i="5"/>
  <c r="P16" i="4"/>
  <c r="R16"/>
  <c r="I27" i="2"/>
  <c r="I26"/>
  <c r="P21" i="4"/>
  <c r="P40"/>
  <c r="P42"/>
  <c r="P19"/>
  <c r="P24"/>
  <c r="R42"/>
  <c r="R40"/>
  <c r="R19"/>
  <c r="R24"/>
  <c r="R21"/>
  <c r="L22" i="2"/>
  <c r="I22"/>
  <c r="G27" i="4"/>
  <c r="D40"/>
  <c r="F40"/>
  <c r="F45"/>
  <c r="G45"/>
  <c r="E16"/>
  <c r="E42"/>
  <c r="G42"/>
  <c r="E40"/>
  <c r="E19"/>
  <c r="E21"/>
  <c r="G21"/>
  <c r="G16"/>
  <c r="G40"/>
  <c r="E24"/>
  <c r="G24"/>
  <c r="G19"/>
  <c r="E8" i="5"/>
  <c r="D8"/>
  <c r="K39" i="2"/>
  <c r="L39"/>
  <c r="K26"/>
  <c r="L26"/>
  <c r="L27"/>
  <c r="D24" i="5"/>
  <c r="E24"/>
  <c r="I17"/>
  <c r="J47"/>
  <c r="K47" s="1"/>
  <c r="J49" l="1"/>
  <c r="K53"/>
  <c r="K49" s="1"/>
  <c r="B35" s="1"/>
</calcChain>
</file>

<file path=xl/comments1.xml><?xml version="1.0" encoding="utf-8"?>
<comments xmlns="http://schemas.openxmlformats.org/spreadsheetml/2006/main">
  <authors>
    <author>Плановый</author>
  </authors>
  <commentList>
    <comment ref="H15" authorId="0">
      <text>
        <r>
          <rPr>
            <sz val="8"/>
            <color indexed="81"/>
            <rFont val="Tahoma"/>
            <family val="2"/>
            <charset val="204"/>
          </rPr>
          <t>ф 1-С, чист.доход+проч.операц.доход+
фин.проч.доход</t>
        </r>
      </text>
    </comment>
    <comment ref="C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D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E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F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H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N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O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P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Q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R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S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C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D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E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F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G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H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I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J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N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O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P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Q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R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S39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H53" authorId="0">
      <text>
        <r>
          <rPr>
            <sz val="8"/>
            <color indexed="81"/>
            <rFont val="Tahoma"/>
            <family val="2"/>
            <charset val="204"/>
          </rPr>
          <t>631 счет (1-С 7.7)
"Осн. Показатели/Задолженность", отч. 1С, стр.43</t>
        </r>
      </text>
    </comment>
    <comment ref="H55" authorId="0">
      <text>
        <r>
          <rPr>
            <sz val="8"/>
            <color indexed="81"/>
            <rFont val="Tahoma"/>
            <family val="2"/>
            <charset val="204"/>
          </rPr>
          <t>отч. 1С, стр. 45</t>
        </r>
      </text>
    </comment>
    <comment ref="H57" authorId="0">
      <text>
        <r>
          <rPr>
            <sz val="8"/>
            <color indexed="81"/>
            <rFont val="Tahoma"/>
            <family val="2"/>
            <charset val="204"/>
          </rPr>
          <t>осн.показ, стр. 89</t>
        </r>
      </text>
    </comment>
    <comment ref="H58" authorId="0">
      <text>
        <r>
          <rPr>
            <sz val="8"/>
            <color indexed="81"/>
            <rFont val="Tahoma"/>
            <family val="2"/>
            <charset val="204"/>
          </rPr>
          <t>в прогр. 1С, сч. 657 на конец периода.</t>
        </r>
      </text>
    </comment>
    <comment ref="H59" authorId="0">
      <text>
        <r>
          <rPr>
            <sz val="8"/>
            <color indexed="81"/>
            <rFont val="Tahoma"/>
            <family val="2"/>
            <charset val="204"/>
          </rPr>
          <t>Дт задолж. - текущ.потребл. (расшифр. Дт задолж, начисл. или в осн.показ., стр. 76 подлеж.оплате.</t>
        </r>
      </text>
    </comment>
  </commentList>
</comments>
</file>

<file path=xl/comments2.xml><?xml version="1.0" encoding="utf-8"?>
<comments xmlns="http://schemas.openxmlformats.org/spreadsheetml/2006/main">
  <authors>
    <author>plan3</author>
    <author>Admin</author>
  </authors>
  <commentList>
    <comment ref="O11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381+4 (Вод.майст.)+4 (зл.ст.)</t>
        </r>
      </text>
    </comment>
    <comment ref="O15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296 (ЦВВ) +2(вод.майст.)+2
(зл.ст.)
</t>
        </r>
      </text>
    </comment>
    <comment ref="O1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из фин.плана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K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L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P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Q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92 сч.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P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Q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R19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ФОТ штатных раб.- 92 сч.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Дог.ЦПХ+мобіліз.</t>
        </r>
      </text>
    </comment>
    <comment ref="I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J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P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Q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R26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мобіліз.</t>
        </r>
      </text>
    </comment>
    <comment ref="O40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= финплан
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F44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93 счет
</t>
        </r>
      </text>
    </comment>
    <comment ref="I4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K4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  <comment ref="L44" authorId="0">
      <text>
        <r>
          <rPr>
            <b/>
            <sz val="8"/>
            <color indexed="81"/>
            <rFont val="Tahoma"/>
            <family val="2"/>
            <charset val="204"/>
          </rPr>
          <t>plan3:</t>
        </r>
        <r>
          <rPr>
            <sz val="8"/>
            <color indexed="81"/>
            <rFont val="Tahoma"/>
            <family val="2"/>
            <charset val="204"/>
          </rPr>
          <t xml:space="preserve">
930+931</t>
        </r>
      </text>
    </comment>
  </commentList>
</comments>
</file>

<file path=xl/sharedStrings.xml><?xml version="1.0" encoding="utf-8"?>
<sst xmlns="http://schemas.openxmlformats.org/spreadsheetml/2006/main" count="260" uniqueCount="172">
  <si>
    <t>З В І Т</t>
  </si>
  <si>
    <t>Керівник підприємства</t>
  </si>
  <si>
    <t xml:space="preserve">            </t>
  </si>
  <si>
    <t>Показники</t>
  </si>
  <si>
    <t>Один. виміру</t>
  </si>
  <si>
    <t xml:space="preserve">                      За кварталами</t>
  </si>
  <si>
    <t>1.Дохід (виручка) від реалізації продукції (товарів,послуг,робіт)</t>
  </si>
  <si>
    <t>по форме № 2</t>
  </si>
  <si>
    <t>3.Використання виробничих потужностей з випуску основних видів продукції (за окремими видами продукції),відсотків:</t>
  </si>
  <si>
    <t>Водопостачання</t>
  </si>
  <si>
    <t>%</t>
  </si>
  <si>
    <t>Перекачування  стоків</t>
  </si>
  <si>
    <t>Очищення стоків</t>
  </si>
  <si>
    <t>4.Коефіцієнт фінансового стану підприємства(рівень рентабельності)</t>
  </si>
  <si>
    <t>грн.</t>
  </si>
  <si>
    <t>7.Заборгованість із заробітної плати - всього</t>
  </si>
  <si>
    <t>- місяців</t>
  </si>
  <si>
    <t>8.Кредиторська заборгованість-всього*</t>
  </si>
  <si>
    <t>у тому числі:</t>
  </si>
  <si>
    <t>комерційним банкам</t>
  </si>
  <si>
    <t>тис.грн.</t>
  </si>
  <si>
    <t>10.Частина чистого прибутку підприємства, що спрямована на розвиток виробництва</t>
  </si>
  <si>
    <t>Передбачено контрактом</t>
  </si>
  <si>
    <t xml:space="preserve">Фактичне виконання </t>
  </si>
  <si>
    <t>за кварталами</t>
  </si>
  <si>
    <t>за рік</t>
  </si>
  <si>
    <t>Директор  КП “Водоканал” ММР ЗО</t>
  </si>
  <si>
    <t>Комунальне підприємство   КП “Водоканал” Мелітопольської  міської ради   Мелітопольскої міської ради Запорізької області</t>
  </si>
  <si>
    <t>бюджету- всього</t>
  </si>
  <si>
    <t>5. Витрати на виробництво одиниці продукції (послуг), у тому числі по окремих найбільш характерних елементах затрат:</t>
  </si>
  <si>
    <t xml:space="preserve">*   без поточного споживання            </t>
  </si>
  <si>
    <t>тепло-енергопостачальним організаціям  - всього*</t>
  </si>
  <si>
    <t>керівника підприємства про виконання показників ефективності використання комунального майна і прибутку,а також майнового стану підприємства</t>
  </si>
  <si>
    <t>2.Чистий прибуток (по відпущеній продукції)</t>
  </si>
  <si>
    <t>Наймач: Виконавчий комітет Мелітопольскої міської ради</t>
  </si>
  <si>
    <t>всього ЄСВ</t>
  </si>
  <si>
    <t>Додаток 3</t>
  </si>
  <si>
    <t xml:space="preserve">ІНФОРМАЦІЯ ПРО ЧИСЕЛЬНІСТЬ ПРАЦЮЮЧИХ ТА СТАН ЗАРОБІТНОЇ ПЛАТИ   </t>
  </si>
  <si>
    <t>КП "ВОДОКАНАЛ" МЕЛІТОПОЛЬСЬКОЇ МІСЬКОЇ РАДИ ЗАПОРІЗЬКОЇ ОБЛАСТІ</t>
  </si>
  <si>
    <t>№ п/п</t>
  </si>
  <si>
    <t>Один.
виміру</t>
  </si>
  <si>
    <t>1.</t>
  </si>
  <si>
    <t>Середньооблікова чисельність штатних працівників облікового складу, всього</t>
  </si>
  <si>
    <t>осіб</t>
  </si>
  <si>
    <t>в т.ч.:</t>
  </si>
  <si>
    <t>2.</t>
  </si>
  <si>
    <t>Фонд оплати праці штатних працівників, всього</t>
  </si>
  <si>
    <t>тис. грн.</t>
  </si>
  <si>
    <t xml:space="preserve">3. </t>
  </si>
  <si>
    <t xml:space="preserve">Середньомісячна заробітна плата, всього </t>
  </si>
  <si>
    <t>4.</t>
  </si>
  <si>
    <t>Фонд оплати праці позаштатних працівників</t>
  </si>
  <si>
    <t>5.</t>
  </si>
  <si>
    <t xml:space="preserve"> - оплата перших п'яти днів тимчасової непрацездатності</t>
  </si>
  <si>
    <t xml:space="preserve"> - відрахування на створення відпусток</t>
  </si>
  <si>
    <t xml:space="preserve"> - надбавки (польове забезпечення) до тарифних ставок i посадових окладів працівників, направлених для виконання монтажних, налагоджувальних, ремонтних i будівельних робіт</t>
  </si>
  <si>
    <t xml:space="preserve"> - інше.</t>
  </si>
  <si>
    <t>6.</t>
  </si>
  <si>
    <t>Виплати, що відносяться до ФОП, але не відносяться до витрат на оплату праці</t>
  </si>
  <si>
    <t xml:space="preserve"> - оплата праці працівників з виконання робіт з капіталізації підприємства (наприклад, транспортування, установка, монтаж, налагодження придбаних основних засобів власними силами)</t>
  </si>
  <si>
    <t xml:space="preserve"> - компенсаційні виплати працівникам, які постраждали від аварії на ЧАЕС</t>
  </si>
  <si>
    <t xml:space="preserve"> - витрати в розмірі страхових внесків підприємств на користь працівників, пов’язаних із добровільним страхуванням </t>
  </si>
  <si>
    <t xml:space="preserve"> - оплата праці працівників з виконання робіт, що визначаються продукцією власного виробництва для внутрішніх потреб підприємства</t>
  </si>
  <si>
    <t xml:space="preserve"> - прямі витрати на оплату праці, пов’язані з незавершеним виробництвом i виготовленням у звітному періоді готової продукції, однак не реалізованої в ньому</t>
  </si>
  <si>
    <t>РАЗОМ ВИТРАТ НА ОПЛАТУ ПРАЦІ</t>
  </si>
  <si>
    <t xml:space="preserve"> в т.ч.</t>
  </si>
  <si>
    <t>7.</t>
  </si>
  <si>
    <t>Витрати на оплату праці, що відносяться до собівартості</t>
  </si>
  <si>
    <t>8.</t>
  </si>
  <si>
    <t>Витрати на оплату праці, що відносяться до адміністративних витрат</t>
  </si>
  <si>
    <t>9.</t>
  </si>
  <si>
    <t>Витрати на оплату праці, що відносяться до витрат на збут</t>
  </si>
  <si>
    <t>10.</t>
  </si>
  <si>
    <t>Витрати на оплату праці, що відносяться до інших операційних витрат</t>
  </si>
  <si>
    <t>Директор</t>
  </si>
  <si>
    <t>з них чисельність робочих основного виробництва</t>
  </si>
  <si>
    <t xml:space="preserve"> фонд оплати праці працівників основного виробництва</t>
  </si>
  <si>
    <t>з них фонд оплати праці робочих основного виробництва</t>
  </si>
  <si>
    <t>середньомісячна заробітна плата працівників основного виробництва</t>
  </si>
  <si>
    <t>з них середньомісячна заробітна плата робочих основного виробництва</t>
  </si>
  <si>
    <t>загальновиробничі</t>
  </si>
  <si>
    <t xml:space="preserve"> -електроенергія</t>
  </si>
  <si>
    <t>прямі витрати,  у т.ч.:</t>
  </si>
  <si>
    <t xml:space="preserve"> -з.пл.</t>
  </si>
  <si>
    <t xml:space="preserve"> -відрахування на з.пл.</t>
  </si>
  <si>
    <t xml:space="preserve"> -амортизаційні відрахування</t>
  </si>
  <si>
    <t xml:space="preserve">адміністративні               </t>
  </si>
  <si>
    <t>витрати на збут</t>
  </si>
  <si>
    <t>Всього:</t>
  </si>
  <si>
    <t>ВОДОПОСТАЧАННЯ</t>
  </si>
  <si>
    <t>ВОДОВІДВЕДЕННЯ</t>
  </si>
  <si>
    <t>9.Дебіторська заборгованість*, всього</t>
  </si>
  <si>
    <t>6.Середня заробітна плата по підприємству</t>
  </si>
  <si>
    <t>1 кв.</t>
  </si>
  <si>
    <t>2 кв.</t>
  </si>
  <si>
    <t>3 кв.</t>
  </si>
  <si>
    <t>4 кв.</t>
  </si>
  <si>
    <t>- водопостачання (тис. грн.)</t>
  </si>
  <si>
    <t>- водовідведення (тис. грн.)</t>
  </si>
  <si>
    <t>Порівняльна характеристика економічних показників</t>
  </si>
  <si>
    <t>КП "Водоканал "ММРЗО</t>
  </si>
  <si>
    <t>Обсяг реалізації послуг з центрального  водовідведення (тис. м. куб.)</t>
  </si>
  <si>
    <t>у т.ч. з бюджету пільги, субсидії    (тис. грн.)</t>
  </si>
  <si>
    <t>Обсяг реалізації послуг з центрального  водопостачання (тис. м. куб.)</t>
  </si>
  <si>
    <t>* електроенергія (тис. грн.)</t>
  </si>
  <si>
    <t>* фонд оплати праці (тис. грн.)</t>
  </si>
  <si>
    <t xml:space="preserve">      середньооблікова штатна числельність (чол.)</t>
  </si>
  <si>
    <t>* ремонти (тис. грн.)</t>
  </si>
  <si>
    <t>витрати (по ф.2)</t>
  </si>
  <si>
    <t>Чистий прибуток  (збиток) (тис. грн.)</t>
  </si>
  <si>
    <t>Всього дохід ( по ф.2) по підприємству , без ПДВ (тис. грн.), у т.ч.:</t>
  </si>
  <si>
    <r>
      <t xml:space="preserve">Витрати всього ( по.ф.2) по підприємству </t>
    </r>
    <r>
      <rPr>
        <sz val="10"/>
        <rFont val="Times New Roman"/>
        <family val="1"/>
        <charset val="204"/>
      </rPr>
      <t>(тис. грн.)</t>
    </r>
    <r>
      <rPr>
        <b/>
        <sz val="10"/>
        <rFont val="Times New Roman"/>
        <family val="1"/>
        <charset val="204"/>
      </rPr>
      <t>, у т.ч.</t>
    </r>
  </si>
  <si>
    <t xml:space="preserve">      середньомісячна заробітна плата керівника, (грн.)*</t>
  </si>
  <si>
    <t>вода</t>
  </si>
  <si>
    <t>стоки</t>
  </si>
  <si>
    <t>очистка</t>
  </si>
  <si>
    <t>ср.з/плата директора</t>
  </si>
  <si>
    <t>ср.з/плата работающих</t>
  </si>
  <si>
    <t>ср.з/плата по предприятию, всего</t>
  </si>
  <si>
    <t>по КП "Водоканал" ММР ЗО</t>
  </si>
  <si>
    <t xml:space="preserve">       електроенергія в натуральних показниках  ( тис.кВт. год.)</t>
  </si>
  <si>
    <t>- інші види діяльності (тис.грн.)</t>
  </si>
  <si>
    <t>- інші операційні доходи (тис.грн.)</t>
  </si>
  <si>
    <t xml:space="preserve">      середньомісячна заробітна плата працюючих(грн.)</t>
  </si>
  <si>
    <t>- інші доходи (тис.грн.)</t>
  </si>
  <si>
    <t>Борги за надані послуги з  централізованого водопостачання та водовідведення,  всього (тис.грн.)</t>
  </si>
  <si>
    <t>приріст (зменшення)</t>
  </si>
  <si>
    <t>н.п.</t>
  </si>
  <si>
    <t>Немченко С.М.</t>
  </si>
  <si>
    <t>Адреса: м. Мелітополь, вул. Покровська, 100</t>
  </si>
  <si>
    <t>С.М.Немченко</t>
  </si>
  <si>
    <t>Відхилення +/- 
(гр.6-гр.5)</t>
  </si>
  <si>
    <t>чисельність апарату управління підприємства</t>
  </si>
  <si>
    <t>чисельність працівників основного виробництва</t>
  </si>
  <si>
    <t>фонд оплати праці працівників апарату управління підприємства</t>
  </si>
  <si>
    <t xml:space="preserve">по апарату управління підприємства </t>
  </si>
  <si>
    <t>Закуплено основних засобів (тис. грн.)**</t>
  </si>
  <si>
    <t>вик.Зіненко Н.М..421363</t>
  </si>
  <si>
    <t>год</t>
  </si>
  <si>
    <t xml:space="preserve"> - сума вихідної допомоги, матеріальної допомоги</t>
  </si>
  <si>
    <t>Сводная таблица за 2020 год</t>
  </si>
  <si>
    <t xml:space="preserve"> -матеріали,ремонти</t>
  </si>
  <si>
    <t xml:space="preserve"> -матеріали,ремонти,реагенти</t>
  </si>
  <si>
    <t xml:space="preserve"> -інші витрати (ПММ)</t>
  </si>
  <si>
    <t>1 квартал</t>
  </si>
  <si>
    <t>2 квартал</t>
  </si>
  <si>
    <t>3 квартал</t>
  </si>
  <si>
    <t>4 квартал</t>
  </si>
  <si>
    <t>рік</t>
  </si>
  <si>
    <t>35/56</t>
  </si>
  <si>
    <t>2020 план</t>
  </si>
  <si>
    <t>Директор                                                                                               С.М.Немченко</t>
  </si>
  <si>
    <t>Інші виплати працівникам, що не відносяться до фонду оплати праці, але відносяться до витрат на оплату праці</t>
  </si>
  <si>
    <t>середньооблікова чисельність</t>
  </si>
  <si>
    <t>Дт</t>
  </si>
  <si>
    <t>начислено за вересень 2020</t>
  </si>
  <si>
    <t>Сергій НЕМЧЕНКО</t>
  </si>
  <si>
    <t>Вик.: Н.Зіненко, А.Адамовська</t>
  </si>
  <si>
    <t>за 4 квартал 2020 року</t>
  </si>
  <si>
    <t>4 квартал   2020 року</t>
  </si>
  <si>
    <t>довідково за 12 місяців 2020 року</t>
  </si>
  <si>
    <t>4 квартал   2019 року</t>
  </si>
  <si>
    <t>4 квартал 2019 р.
факт</t>
  </si>
  <si>
    <t>4 квартал 2020 р.
план</t>
  </si>
  <si>
    <t>4 квартал 
2020 р.
факт</t>
  </si>
  <si>
    <t>Звітний період ( квартал, рік)   -  4 квартал 2020 року</t>
  </si>
  <si>
    <t>Зіненко Н.М., Данченко О.П.,  42-13-63</t>
  </si>
  <si>
    <t>Аєдінова Н.М., 42-12-92</t>
  </si>
  <si>
    <t>Термін дії контракту з 19.01.2018 до 31.10.2023</t>
  </si>
  <si>
    <t>с форм. 5-НКРЕКП - поточне нарахування</t>
  </si>
  <si>
    <t>* 4 кв.2019 рік у т.ч.премія 45663 грн.</t>
  </si>
  <si>
    <t>* 4 квартал 2020 рік у т.ч. лікарняний лист - 38117,92 грн.</t>
  </si>
</sst>
</file>

<file path=xl/styles.xml><?xml version="1.0" encoding="utf-8"?>
<styleSheet xmlns="http://schemas.openxmlformats.org/spreadsheetml/2006/main">
  <numFmts count="3">
    <numFmt numFmtId="176" formatCode="0.0"/>
    <numFmt numFmtId="179" formatCode="0.0000"/>
    <numFmt numFmtId="182" formatCode="#,##0.0"/>
  </numFmts>
  <fonts count="3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u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3" tint="-0.249977111117893"/>
      <name val="Arial Cyr"/>
      <charset val="204"/>
    </font>
    <font>
      <b/>
      <sz val="10"/>
      <color theme="3" tint="-0.249977111117893"/>
      <name val="Arial Cyr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7" fillId="2" borderId="4" xfId="0" applyFont="1" applyFill="1" applyBorder="1" applyAlignment="1">
      <alignment wrapText="1"/>
    </xf>
    <xf numFmtId="1" fontId="3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76" fontId="0" fillId="0" borderId="0" xfId="0" applyNumberFormat="1"/>
    <xf numFmtId="0" fontId="1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8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82" fontId="8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2" fillId="0" borderId="2" xfId="0" applyNumberFormat="1" applyFont="1" applyBorder="1" applyAlignment="1">
      <alignment horizontal="center" vertical="center"/>
    </xf>
    <xf numFmtId="18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2" fillId="3" borderId="1" xfId="4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21" fillId="0" borderId="1" xfId="0" applyFont="1" applyFill="1" applyBorder="1"/>
    <xf numFmtId="182" fontId="29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3" fillId="0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4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1" fontId="2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wrapText="1"/>
    </xf>
    <xf numFmtId="1" fontId="2" fillId="5" borderId="6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wrapText="1"/>
    </xf>
    <xf numFmtId="182" fontId="3" fillId="6" borderId="7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176" fontId="30" fillId="7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2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2" xfId="0" applyBorder="1"/>
    <xf numFmtId="0" fontId="2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76" fontId="3" fillId="3" borderId="0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20" fillId="0" borderId="0" xfId="0" applyFont="1" applyBorder="1"/>
    <xf numFmtId="176" fontId="0" fillId="0" borderId="0" xfId="0" applyNumberFormat="1" applyBorder="1"/>
    <xf numFmtId="176" fontId="20" fillId="0" borderId="0" xfId="0" applyNumberFormat="1" applyFont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176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2" fontId="0" fillId="0" borderId="0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82" fontId="2" fillId="0" borderId="3" xfId="0" applyNumberFormat="1" applyFont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182" fontId="3" fillId="0" borderId="1" xfId="3" applyNumberFormat="1" applyFont="1" applyFill="1" applyBorder="1" applyAlignment="1">
      <alignment horizontal="center" vertical="center" wrapText="1"/>
    </xf>
    <xf numFmtId="182" fontId="2" fillId="0" borderId="1" xfId="3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3" fillId="0" borderId="0" xfId="0" applyFont="1" applyFill="1" applyBorder="1"/>
    <xf numFmtId="179" fontId="32" fillId="0" borderId="0" xfId="0" applyNumberFormat="1" applyFont="1"/>
    <xf numFmtId="0" fontId="34" fillId="3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182" fontId="31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right" vertical="center" wrapText="1"/>
    </xf>
    <xf numFmtId="2" fontId="32" fillId="0" borderId="1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4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24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9" xfId="3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/>
    </xf>
    <xf numFmtId="176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35" fillId="0" borderId="1" xfId="3" applyNumberFormat="1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Alignment="1"/>
    <xf numFmtId="0" fontId="21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76" fontId="21" fillId="7" borderId="1" xfId="0" applyNumberFormat="1" applyFont="1" applyFill="1" applyBorder="1" applyAlignment="1">
      <alignment horizontal="center"/>
    </xf>
    <xf numFmtId="176" fontId="21" fillId="8" borderId="1" xfId="0" applyNumberFormat="1" applyFont="1" applyFill="1" applyBorder="1" applyAlignment="1">
      <alignment horizontal="center"/>
    </xf>
    <xf numFmtId="2" fontId="21" fillId="8" borderId="1" xfId="0" applyNumberFormat="1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49" fontId="18" fillId="0" borderId="0" xfId="0" applyNumberFormat="1" applyFont="1" applyBorder="1" applyAlignment="1">
      <alignment wrapText="1"/>
    </xf>
    <xf numFmtId="176" fontId="0" fillId="0" borderId="0" xfId="0" applyNumberForma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2" fontId="2" fillId="0" borderId="3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82" fontId="3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82" fontId="2" fillId="3" borderId="3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176" fontId="2" fillId="0" borderId="0" xfId="3" applyNumberFormat="1" applyFont="1" applyFill="1" applyBorder="1" applyAlignment="1">
      <alignment horizontal="center" vertical="center" wrapText="1"/>
    </xf>
    <xf numFmtId="176" fontId="3" fillId="0" borderId="0" xfId="3" applyNumberFormat="1" applyFont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center" vertical="center" wrapText="1"/>
    </xf>
    <xf numFmtId="3" fontId="3" fillId="0" borderId="13" xfId="3" applyNumberFormat="1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176" fontId="3" fillId="0" borderId="13" xfId="3" applyNumberFormat="1" applyFont="1" applyBorder="1" applyAlignment="1">
      <alignment horizontal="center" vertical="center" wrapText="1"/>
    </xf>
    <xf numFmtId="182" fontId="3" fillId="0" borderId="13" xfId="3" applyNumberFormat="1" applyFont="1" applyBorder="1" applyAlignment="1">
      <alignment horizontal="center" vertical="center" wrapText="1"/>
    </xf>
    <xf numFmtId="176" fontId="2" fillId="0" borderId="13" xfId="3" applyNumberFormat="1" applyFont="1" applyBorder="1" applyAlignment="1">
      <alignment horizontal="center" vertical="center" wrapText="1"/>
    </xf>
    <xf numFmtId="176" fontId="2" fillId="0" borderId="14" xfId="3" applyNumberFormat="1" applyFont="1" applyFill="1" applyBorder="1" applyAlignment="1">
      <alignment horizontal="center" vertical="center" wrapText="1"/>
    </xf>
    <xf numFmtId="176" fontId="3" fillId="0" borderId="15" xfId="3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6" xfId="3" applyNumberFormat="1" applyFont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2" fillId="0" borderId="20" xfId="3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left" vertical="center" wrapText="1"/>
    </xf>
    <xf numFmtId="0" fontId="3" fillId="0" borderId="19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vertical="center" wrapText="1"/>
    </xf>
    <xf numFmtId="0" fontId="13" fillId="0" borderId="19" xfId="3" applyFont="1" applyFill="1" applyBorder="1" applyAlignment="1">
      <alignment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13" fillId="0" borderId="19" xfId="3" applyFont="1" applyFill="1" applyBorder="1" applyAlignment="1">
      <alignment horizontal="left" vertical="center" wrapText="1"/>
    </xf>
    <xf numFmtId="0" fontId="8" fillId="0" borderId="19" xfId="3" applyFont="1" applyFill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3" fillId="0" borderId="19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82" fontId="3" fillId="0" borderId="23" xfId="3" applyNumberFormat="1" applyFont="1" applyFill="1" applyBorder="1" applyAlignment="1">
      <alignment horizontal="center" vertical="center" wrapText="1"/>
    </xf>
    <xf numFmtId="182" fontId="2" fillId="0" borderId="23" xfId="3" applyNumberFormat="1" applyFont="1" applyFill="1" applyBorder="1" applyAlignment="1">
      <alignment horizontal="center" vertical="center" wrapText="1"/>
    </xf>
    <xf numFmtId="182" fontId="3" fillId="0" borderId="23" xfId="0" applyNumberFormat="1" applyFont="1" applyFill="1" applyBorder="1" applyAlignment="1">
      <alignment horizontal="center" vertical="center"/>
    </xf>
    <xf numFmtId="182" fontId="2" fillId="0" borderId="23" xfId="0" applyNumberFormat="1" applyFont="1" applyFill="1" applyBorder="1" applyAlignment="1">
      <alignment horizontal="center" vertical="center"/>
    </xf>
    <xf numFmtId="176" fontId="3" fillId="0" borderId="23" xfId="3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/>
    </xf>
    <xf numFmtId="176" fontId="3" fillId="0" borderId="25" xfId="3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3" applyNumberFormat="1" applyFont="1" applyFill="1" applyBorder="1" applyAlignment="1">
      <alignment horizontal="center" vertical="center" wrapText="1"/>
    </xf>
    <xf numFmtId="176" fontId="2" fillId="0" borderId="26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/>
    </xf>
    <xf numFmtId="182" fontId="2" fillId="3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2" fillId="0" borderId="0" xfId="0" applyFont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0" fillId="0" borderId="30" xfId="0" applyBorder="1" applyAlignment="1">
      <alignment horizontal="center" vertical="center"/>
    </xf>
  </cellXfs>
  <cellStyles count="5">
    <cellStyle name="Обычный" xfId="0" builtinId="0"/>
    <cellStyle name="Обычный_План_2007_" xfId="1"/>
    <cellStyle name="Обычный_Пост117_ира" xfId="2"/>
    <cellStyle name="Обычный_таблиця по планам 2007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&#1052;&#1086;&#1080;%20&#1076;&#1086;&#1082;&#1091;&#1084;&#1077;&#1085;&#1090;&#1099;\&#1047;&#1042;&#1030;&#1058;&#1048;%20&#1053;&#1050;&#1056;&#1045;&#1050;&#1055;\&#1054;&#1058;&#1063;&#1045;&#1058;&#1067;%202020\&#1063;&#1077;&#1088;&#1074;&#1077;&#1085;&#1100;%202020\f8-NKREKP-voda%201%20&#1087;&#1110;&#1074;&#1088;&#1110;&#1095;&#109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Users\Admin\Desktop\f8-NKREKP-voda%209%20&#1084;&#1110;&#1089;&#1103;&#1094;&#1110;&#1074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-НКРЕКП-вода "/>
      <sheetName val="додаток 8.1"/>
      <sheetName val="додаток 8.2"/>
      <sheetName val="для пояснень"/>
      <sheetName val="АНЗ"/>
      <sheetName val="тариф 2020 вода"/>
      <sheetName val="тариф 2020 стоки"/>
    </sheetNames>
    <sheetDataSet>
      <sheetData sheetId="0">
        <row r="61">
          <cell r="Q61">
            <v>12287.884999999998</v>
          </cell>
        </row>
        <row r="79">
          <cell r="P79">
            <v>364.149</v>
          </cell>
        </row>
        <row r="81">
          <cell r="Q81">
            <v>1498.3616900000002</v>
          </cell>
        </row>
        <row r="83">
          <cell r="Q83">
            <v>508.69463999999999</v>
          </cell>
        </row>
        <row r="122">
          <cell r="Q122">
            <v>5756.674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8-НКРЕКП-вода "/>
      <sheetName val="додаток 8.1"/>
      <sheetName val="додаток 8.2"/>
      <sheetName val="для пояснень"/>
      <sheetName val="АНЗ"/>
      <sheetName val="тариф 2020 вода"/>
      <sheetName val="тариф 2020 стоки"/>
      <sheetName val="Лист1"/>
    </sheetNames>
    <sheetDataSet>
      <sheetData sheetId="0">
        <row r="61">
          <cell r="Q61">
            <v>18940.231</v>
          </cell>
        </row>
        <row r="79">
          <cell r="P79">
            <v>764.89</v>
          </cell>
        </row>
        <row r="81">
          <cell r="Q81">
            <v>3599.627</v>
          </cell>
        </row>
        <row r="83">
          <cell r="Q83">
            <v>767.42700000000002</v>
          </cell>
        </row>
        <row r="122">
          <cell r="Q122">
            <v>8735.9490000000005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9"/>
  <sheetViews>
    <sheetView tabSelected="1" zoomScaleNormal="76" workbookViewId="0">
      <selection activeCell="N1" sqref="N1:U65536"/>
    </sheetView>
  </sheetViews>
  <sheetFormatPr defaultRowHeight="12.75" outlineLevelRow="1"/>
  <cols>
    <col min="1" max="1" width="44.42578125" customWidth="1"/>
    <col min="2" max="2" width="7.7109375" customWidth="1"/>
    <col min="3" max="3" width="10.140625" style="10" customWidth="1"/>
    <col min="4" max="4" width="9.28515625" style="10" customWidth="1"/>
    <col min="5" max="5" width="9.5703125" style="10" bestFit="1" customWidth="1"/>
    <col min="6" max="6" width="9.42578125" style="10" customWidth="1"/>
    <col min="7" max="7" width="8.7109375" style="10" customWidth="1"/>
    <col min="8" max="8" width="9.5703125" style="11" customWidth="1"/>
    <col min="9" max="9" width="8.85546875" style="11" customWidth="1"/>
    <col min="10" max="10" width="9" style="11" customWidth="1"/>
    <col min="11" max="11" width="8.85546875" style="11" customWidth="1"/>
    <col min="12" max="12" width="10.5703125" style="11" customWidth="1"/>
    <col min="14" max="14" width="8.7109375" hidden="1" customWidth="1"/>
    <col min="15" max="15" width="9.28515625" hidden="1" customWidth="1"/>
    <col min="16" max="16" width="8.85546875" hidden="1" customWidth="1"/>
    <col min="17" max="17" width="9.7109375" hidden="1" customWidth="1"/>
    <col min="18" max="18" width="9.85546875" hidden="1" customWidth="1"/>
    <col min="19" max="19" width="9.28515625" hidden="1" customWidth="1"/>
    <col min="20" max="20" width="8.85546875" hidden="1" customWidth="1"/>
    <col min="21" max="21" width="8.7109375" hidden="1" customWidth="1"/>
    <col min="22" max="22" width="9" customWidth="1"/>
    <col min="23" max="23" width="8.7109375" customWidth="1"/>
    <col min="24" max="24" width="8.28515625" customWidth="1"/>
    <col min="25" max="25" width="7.5703125" customWidth="1"/>
    <col min="26" max="26" width="8" customWidth="1"/>
    <col min="27" max="27" width="7.85546875" customWidth="1"/>
    <col min="28" max="28" width="7.7109375" customWidth="1"/>
    <col min="29" max="29" width="8.28515625" customWidth="1"/>
    <col min="30" max="30" width="7.7109375" customWidth="1"/>
    <col min="31" max="31" width="7.85546875" customWidth="1"/>
    <col min="32" max="32" width="4.28515625" customWidth="1"/>
    <col min="33" max="33" width="7.85546875" customWidth="1"/>
    <col min="34" max="34" width="4" customWidth="1"/>
    <col min="35" max="35" width="7.7109375" customWidth="1"/>
    <col min="36" max="36" width="4" customWidth="1"/>
    <col min="37" max="37" width="7.28515625" customWidth="1"/>
    <col min="38" max="38" width="4.5703125" customWidth="1"/>
    <col min="39" max="39" width="8" customWidth="1"/>
    <col min="40" max="40" width="3.7109375" customWidth="1"/>
  </cols>
  <sheetData>
    <row r="1" spans="1:29" ht="15.7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29" ht="15">
      <c r="A2" s="287" t="s">
        <v>32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29" ht="15.75">
      <c r="A3" s="1"/>
      <c r="B3" s="2"/>
      <c r="C3" s="2"/>
      <c r="D3" s="2"/>
      <c r="E3" s="2"/>
      <c r="F3" s="2"/>
      <c r="G3" s="2"/>
      <c r="H3" s="8"/>
      <c r="I3" s="8"/>
      <c r="J3" s="8"/>
      <c r="K3" s="8"/>
      <c r="L3" s="8"/>
    </row>
    <row r="4" spans="1:29" ht="15.75">
      <c r="A4" s="1" t="s">
        <v>1</v>
      </c>
      <c r="B4" s="279" t="s">
        <v>128</v>
      </c>
      <c r="C4" s="279"/>
      <c r="D4" s="279"/>
      <c r="E4" s="1"/>
      <c r="F4" s="1"/>
      <c r="G4" s="1"/>
      <c r="H4" s="8"/>
      <c r="I4" s="8"/>
      <c r="J4" s="8"/>
      <c r="K4" s="8"/>
      <c r="L4" s="8"/>
    </row>
    <row r="5" spans="1:29" ht="15.75">
      <c r="A5" s="1" t="s">
        <v>27</v>
      </c>
      <c r="B5" s="2"/>
      <c r="C5" s="2"/>
      <c r="D5" s="2"/>
      <c r="E5" s="2"/>
      <c r="F5" s="2"/>
      <c r="G5" s="2"/>
      <c r="H5" s="8"/>
      <c r="I5" s="8"/>
      <c r="J5" s="8"/>
      <c r="K5" s="8"/>
      <c r="L5" s="8"/>
    </row>
    <row r="6" spans="1:29" ht="15.75">
      <c r="A6" s="1" t="s">
        <v>129</v>
      </c>
      <c r="B6" s="2"/>
      <c r="C6" s="2"/>
      <c r="D6" s="2"/>
      <c r="E6" s="2"/>
      <c r="F6" s="2"/>
      <c r="G6" s="2"/>
      <c r="H6" s="8"/>
      <c r="I6" s="8"/>
      <c r="J6" s="8"/>
      <c r="K6" s="8"/>
      <c r="L6" s="8"/>
    </row>
    <row r="7" spans="1:29" ht="7.5" customHeight="1">
      <c r="A7" s="1" t="s">
        <v>2</v>
      </c>
      <c r="B7" s="2"/>
      <c r="C7" s="2"/>
      <c r="D7" s="2"/>
      <c r="E7" s="2"/>
      <c r="F7" s="2"/>
      <c r="G7" s="2"/>
      <c r="H7" s="8"/>
      <c r="I7" s="8"/>
      <c r="J7" s="8"/>
      <c r="K7" s="8"/>
      <c r="L7" s="8"/>
    </row>
    <row r="8" spans="1:29" ht="15.75">
      <c r="A8" s="9" t="s">
        <v>34</v>
      </c>
      <c r="B8" s="8"/>
      <c r="C8" s="2"/>
      <c r="D8" s="2"/>
      <c r="E8" s="2"/>
      <c r="F8" s="2"/>
      <c r="G8" s="2"/>
      <c r="H8" s="8"/>
      <c r="I8" s="8"/>
      <c r="J8" s="8"/>
      <c r="K8" s="8"/>
      <c r="L8" s="8"/>
    </row>
    <row r="9" spans="1:29" ht="15.75">
      <c r="A9" s="126" t="s">
        <v>168</v>
      </c>
      <c r="B9" s="215"/>
      <c r="C9" s="2"/>
      <c r="D9" s="2"/>
      <c r="E9" s="2"/>
      <c r="F9" s="2"/>
      <c r="G9" s="2"/>
      <c r="H9" s="8"/>
      <c r="I9" s="8"/>
      <c r="J9" s="8"/>
      <c r="K9" s="8"/>
      <c r="L9" s="8"/>
    </row>
    <row r="10" spans="1:29" ht="15.75">
      <c r="A10" s="2"/>
      <c r="B10" s="5" t="s">
        <v>165</v>
      </c>
      <c r="C10" s="6"/>
      <c r="D10" s="6"/>
      <c r="E10" s="6"/>
      <c r="F10" s="6"/>
      <c r="G10" s="6"/>
      <c r="H10" s="8"/>
      <c r="I10" s="8"/>
      <c r="J10" s="8"/>
      <c r="K10" s="8"/>
      <c r="L10" s="8"/>
    </row>
    <row r="11" spans="1:29" ht="6" customHeight="1">
      <c r="A11" s="1"/>
      <c r="B11" s="2"/>
      <c r="C11" s="2"/>
      <c r="D11" s="2"/>
      <c r="E11" s="2"/>
      <c r="F11" s="2"/>
      <c r="G11" s="2"/>
      <c r="H11" s="8"/>
      <c r="I11" s="8"/>
      <c r="J11" s="8"/>
      <c r="K11" s="8"/>
      <c r="L11" s="8"/>
    </row>
    <row r="12" spans="1:29" ht="15.75" customHeight="1">
      <c r="A12" s="288" t="s">
        <v>3</v>
      </c>
      <c r="B12" s="291" t="s">
        <v>4</v>
      </c>
      <c r="C12" s="294" t="s">
        <v>22</v>
      </c>
      <c r="D12" s="295"/>
      <c r="E12" s="295"/>
      <c r="F12" s="295"/>
      <c r="G12" s="296"/>
      <c r="H12" s="297" t="s">
        <v>23</v>
      </c>
      <c r="I12" s="298"/>
      <c r="J12" s="298"/>
      <c r="K12" s="298"/>
      <c r="L12" s="299"/>
    </row>
    <row r="13" spans="1:29" ht="15.75" customHeight="1">
      <c r="A13" s="289"/>
      <c r="B13" s="292"/>
      <c r="C13" s="294" t="s">
        <v>24</v>
      </c>
      <c r="D13" s="295"/>
      <c r="E13" s="295"/>
      <c r="F13" s="296"/>
      <c r="G13" s="288" t="s">
        <v>25</v>
      </c>
      <c r="H13" s="297" t="s">
        <v>5</v>
      </c>
      <c r="I13" s="298"/>
      <c r="J13" s="298"/>
      <c r="K13" s="299"/>
      <c r="L13" s="300" t="s">
        <v>25</v>
      </c>
    </row>
    <row r="14" spans="1:29" ht="15.75">
      <c r="A14" s="290"/>
      <c r="B14" s="293"/>
      <c r="C14" s="4">
        <v>1</v>
      </c>
      <c r="D14" s="4">
        <v>2</v>
      </c>
      <c r="E14" s="4">
        <v>3</v>
      </c>
      <c r="F14" s="4">
        <v>4</v>
      </c>
      <c r="G14" s="290"/>
      <c r="H14" s="7">
        <v>1</v>
      </c>
      <c r="I14" s="7">
        <v>2</v>
      </c>
      <c r="J14" s="7">
        <v>3</v>
      </c>
      <c r="K14" s="7">
        <v>4</v>
      </c>
      <c r="L14" s="301"/>
      <c r="P14" s="43"/>
      <c r="Q14" s="42" t="s">
        <v>93</v>
      </c>
      <c r="R14" s="42" t="s">
        <v>94</v>
      </c>
      <c r="S14" s="42" t="s">
        <v>95</v>
      </c>
      <c r="T14" s="42" t="s">
        <v>96</v>
      </c>
      <c r="U14" s="42"/>
      <c r="X14" s="40"/>
      <c r="Y14" s="40"/>
      <c r="Z14" s="99"/>
      <c r="AA14" s="99"/>
      <c r="AB14" s="99"/>
      <c r="AC14" s="99"/>
    </row>
    <row r="15" spans="1:29" ht="29.25" customHeight="1">
      <c r="A15" s="34" t="s">
        <v>6</v>
      </c>
      <c r="B15" s="35" t="s">
        <v>20</v>
      </c>
      <c r="C15" s="36">
        <v>22870</v>
      </c>
      <c r="D15" s="36">
        <v>23725</v>
      </c>
      <c r="E15" s="36">
        <v>24456</v>
      </c>
      <c r="F15" s="36">
        <v>23391</v>
      </c>
      <c r="G15" s="36">
        <f>C15+D15+E15+F15</f>
        <v>94442</v>
      </c>
      <c r="H15" s="36">
        <v>24769</v>
      </c>
      <c r="I15" s="36">
        <v>26409.7</v>
      </c>
      <c r="J15" s="36">
        <v>28978.163</v>
      </c>
      <c r="K15" s="36">
        <v>27155.9</v>
      </c>
      <c r="L15" s="36">
        <f>H15+I15+J15+K15</f>
        <v>107312.76300000001</v>
      </c>
      <c r="M15" s="45"/>
      <c r="P15" s="43"/>
      <c r="Q15" s="42">
        <f>31+29+31</f>
        <v>91</v>
      </c>
      <c r="R15" s="42">
        <f>30+31+30</f>
        <v>91</v>
      </c>
      <c r="S15" s="42">
        <f>31+31+30</f>
        <v>92</v>
      </c>
      <c r="T15" s="42">
        <f>31+30+31</f>
        <v>92</v>
      </c>
      <c r="U15" s="42">
        <f>T15+S15+R15+Q15</f>
        <v>366</v>
      </c>
      <c r="X15" s="40"/>
      <c r="Y15" s="40"/>
      <c r="Z15" s="99"/>
      <c r="AA15" s="99"/>
      <c r="AB15" s="99"/>
      <c r="AC15" s="99"/>
    </row>
    <row r="16" spans="1:29" ht="15" customHeight="1">
      <c r="A16" s="34" t="s">
        <v>33</v>
      </c>
      <c r="B16" s="35" t="s">
        <v>20</v>
      </c>
      <c r="C16" s="36">
        <v>46</v>
      </c>
      <c r="D16" s="36">
        <v>64</v>
      </c>
      <c r="E16" s="36">
        <v>67</v>
      </c>
      <c r="F16" s="36">
        <v>47</v>
      </c>
      <c r="G16" s="36">
        <f>SUM(C16:F16)</f>
        <v>224</v>
      </c>
      <c r="H16" s="36">
        <v>2281</v>
      </c>
      <c r="I16" s="36">
        <f>3619-816.9</f>
        <v>2802.1</v>
      </c>
      <c r="J16" s="36">
        <v>2812</v>
      </c>
      <c r="K16" s="36">
        <v>2111.9169999999999</v>
      </c>
      <c r="L16" s="36">
        <f>H16+I16+J16+K16</f>
        <v>10007.017</v>
      </c>
      <c r="M16" s="277"/>
      <c r="N16" s="45"/>
      <c r="P16" s="68"/>
      <c r="Q16" s="69">
        <f>U16/366*91</f>
        <v>1655.9364480874317</v>
      </c>
      <c r="R16" s="69">
        <f>U16/366*91</f>
        <v>1655.9364480874317</v>
      </c>
      <c r="S16" s="69">
        <f>U16/366*92</f>
        <v>1674.1335519125682</v>
      </c>
      <c r="T16" s="69">
        <f>U16/366*92</f>
        <v>1674.1335519125682</v>
      </c>
      <c r="U16" s="70">
        <v>6660.14</v>
      </c>
      <c r="X16" s="40"/>
      <c r="Y16" s="40"/>
      <c r="Z16" s="99"/>
      <c r="AA16" s="111"/>
      <c r="AB16" s="111"/>
      <c r="AC16" s="111"/>
    </row>
    <row r="17" spans="1:42" ht="16.5" customHeight="1">
      <c r="A17" s="34" t="s">
        <v>7</v>
      </c>
      <c r="B17" s="35" t="s">
        <v>20</v>
      </c>
      <c r="C17" s="36">
        <v>46</v>
      </c>
      <c r="D17" s="36">
        <v>64</v>
      </c>
      <c r="E17" s="36">
        <v>67</v>
      </c>
      <c r="F17" s="36">
        <v>47</v>
      </c>
      <c r="G17" s="36">
        <f>SUM(C17:F17)</f>
        <v>224</v>
      </c>
      <c r="H17" s="36">
        <v>2521.261</v>
      </c>
      <c r="I17" s="36">
        <v>3852.8290000000002</v>
      </c>
      <c r="J17" s="36">
        <v>3052.0819999999999</v>
      </c>
      <c r="K17" s="36">
        <v>2811.0990000000002</v>
      </c>
      <c r="L17" s="36">
        <f>SUM(H17:K17)</f>
        <v>12237.271000000001</v>
      </c>
      <c r="M17" s="41"/>
      <c r="N17" s="40"/>
      <c r="P17" s="68"/>
      <c r="Q17" s="69">
        <f>U17/366*91</f>
        <v>944.78885245901631</v>
      </c>
      <c r="R17" s="69">
        <f>U17/366*91</f>
        <v>944.78885245901631</v>
      </c>
      <c r="S17" s="69">
        <f>U17/366*92</f>
        <v>955.17114754098361</v>
      </c>
      <c r="T17" s="69">
        <f>U17/366*92</f>
        <v>955.17114754098361</v>
      </c>
      <c r="U17" s="68">
        <v>3799.92</v>
      </c>
      <c r="X17" s="40"/>
      <c r="Y17" s="40"/>
      <c r="Z17" s="111"/>
      <c r="AA17" s="111"/>
      <c r="AB17" s="111"/>
      <c r="AC17" s="111"/>
    </row>
    <row r="18" spans="1:42" ht="15.75" customHeight="1">
      <c r="A18" s="280" t="s">
        <v>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2"/>
      <c r="L18" s="38"/>
      <c r="M18" s="45"/>
      <c r="N18" s="45"/>
      <c r="P18" s="68"/>
      <c r="Q18" s="69">
        <f>U18/366*91</f>
        <v>944.78885245901631</v>
      </c>
      <c r="R18" s="69">
        <f>U18/366*91</f>
        <v>944.78885245901631</v>
      </c>
      <c r="S18" s="69">
        <f>U18/366*92</f>
        <v>955.17114754098361</v>
      </c>
      <c r="T18" s="69">
        <f>U18/366*92</f>
        <v>955.17114754098361</v>
      </c>
      <c r="U18" s="68">
        <v>3799.92</v>
      </c>
    </row>
    <row r="19" spans="1:42" ht="17.25" customHeight="1">
      <c r="A19" s="34" t="s">
        <v>9</v>
      </c>
      <c r="B19" s="35" t="s">
        <v>10</v>
      </c>
      <c r="C19" s="39">
        <f>Q16/91/55*100</f>
        <v>33.085643318430201</v>
      </c>
      <c r="D19" s="39">
        <f>R16/91/55*100</f>
        <v>33.085643318430201</v>
      </c>
      <c r="E19" s="39">
        <f>S16/92/55*100</f>
        <v>33.085643318430201</v>
      </c>
      <c r="F19" s="39">
        <f>T16/92/55*100</f>
        <v>33.085643318430201</v>
      </c>
      <c r="G19" s="39">
        <f>(C19+D19+E19+F19)/4</f>
        <v>33.085643318430201</v>
      </c>
      <c r="H19" s="39">
        <f>1554.237/91/55*100</f>
        <v>31.053686313686317</v>
      </c>
      <c r="I19" s="39">
        <f>1886.312/91/55*100</f>
        <v>37.688551448551443</v>
      </c>
      <c r="J19" s="39">
        <f>1845.58/92/55*100</f>
        <v>36.473913043478255</v>
      </c>
      <c r="K19" s="39">
        <f>1569.859/92/55*100</f>
        <v>31.024881422924906</v>
      </c>
      <c r="L19" s="39">
        <f>3440.548/182/55*100</f>
        <v>34.371108891108889</v>
      </c>
      <c r="P19" s="43"/>
      <c r="Q19" s="43" t="s">
        <v>113</v>
      </c>
      <c r="R19" s="65">
        <v>55</v>
      </c>
    </row>
    <row r="20" spans="1:42" ht="15.75" customHeight="1">
      <c r="A20" s="34" t="s">
        <v>11</v>
      </c>
      <c r="B20" s="35" t="s">
        <v>10</v>
      </c>
      <c r="C20" s="39">
        <f>Q17/91/63*100</f>
        <v>16.47983346344002</v>
      </c>
      <c r="D20" s="39">
        <f>R17/91/63*100</f>
        <v>16.47983346344002</v>
      </c>
      <c r="E20" s="39">
        <f>S17/92/63*100</f>
        <v>16.47983346344002</v>
      </c>
      <c r="F20" s="39">
        <f>T17/92/63*100</f>
        <v>16.47983346344002</v>
      </c>
      <c r="G20" s="39">
        <f>(C20+D20+E20+F20)/4</f>
        <v>16.47983346344002</v>
      </c>
      <c r="H20" s="39">
        <f>1002.717/91/63*100</f>
        <v>17.49026687598116</v>
      </c>
      <c r="I20" s="39">
        <f>936.37808/91/63*100</f>
        <v>16.33312541426827</v>
      </c>
      <c r="J20" s="39">
        <f>941.24861/92/63*100</f>
        <v>16.239624051069704</v>
      </c>
      <c r="K20" s="39">
        <f>952.5255/92/63*100</f>
        <v>16.434187370600416</v>
      </c>
      <c r="L20" s="39">
        <f>1939.09484/182/63*100</f>
        <v>16.911694051979769</v>
      </c>
      <c r="P20" s="43"/>
      <c r="Q20" s="43" t="s">
        <v>114</v>
      </c>
      <c r="R20" s="65">
        <v>63</v>
      </c>
    </row>
    <row r="21" spans="1:42" ht="15" customHeight="1">
      <c r="A21" s="34" t="s">
        <v>12</v>
      </c>
      <c r="B21" s="35" t="s">
        <v>10</v>
      </c>
      <c r="C21" s="39">
        <f>Q18/65.1/91*100</f>
        <v>15.948225932361309</v>
      </c>
      <c r="D21" s="39">
        <f>R18/65.1/91*100</f>
        <v>15.948225932361309</v>
      </c>
      <c r="E21" s="39">
        <f>S18/65.1/92*100</f>
        <v>15.948225932361312</v>
      </c>
      <c r="F21" s="39">
        <f>T18/65.1/92*100</f>
        <v>15.948225932361312</v>
      </c>
      <c r="G21" s="39">
        <f>(C21+D21+E21+F21)/4</f>
        <v>15.948225932361311</v>
      </c>
      <c r="H21" s="39">
        <f>1002.717/65.1/91*100</f>
        <v>16.926064718691446</v>
      </c>
      <c r="I21" s="39">
        <f>936.37808/65.1/91*100</f>
        <v>15.806250400904778</v>
      </c>
      <c r="J21" s="39">
        <f>941.24861/65.1/92*100</f>
        <v>15.715765210712618</v>
      </c>
      <c r="K21" s="39">
        <f>952.5255/65.1/92*100</f>
        <v>15.904052294129434</v>
      </c>
      <c r="L21" s="39">
        <f>1939.09484/182/65.1*100</f>
        <v>16.36615553417397</v>
      </c>
      <c r="P21" s="97"/>
      <c r="Q21" s="97" t="s">
        <v>115</v>
      </c>
      <c r="R21" s="98">
        <v>65.099999999999994</v>
      </c>
    </row>
    <row r="22" spans="1:42" ht="31.5">
      <c r="A22" s="47" t="s">
        <v>13</v>
      </c>
      <c r="B22" s="35" t="s">
        <v>10</v>
      </c>
      <c r="C22" s="48">
        <f>C17/C23</f>
        <v>2.0010440229685051E-3</v>
      </c>
      <c r="D22" s="48">
        <f t="shared" ref="D22:L22" si="0">D17/D23</f>
        <v>2.6862539349422876E-3</v>
      </c>
      <c r="E22" s="48">
        <f t="shared" si="0"/>
        <v>2.7287907791308597E-3</v>
      </c>
      <c r="F22" s="48">
        <f t="shared" si="0"/>
        <v>1.999319380636379E-3</v>
      </c>
      <c r="G22" s="48">
        <f t="shared" si="0"/>
        <v>2.361026203174737E-3</v>
      </c>
      <c r="H22" s="48">
        <f>H17/H23</f>
        <v>0.11092217333919929</v>
      </c>
      <c r="I22" s="48">
        <f>I17/I23</f>
        <v>0.15235799588737742</v>
      </c>
      <c r="J22" s="48">
        <f>J17/J23</f>
        <v>0.11269364546025182</v>
      </c>
      <c r="K22" s="48">
        <f>K17/K23</f>
        <v>0.11060830457723619</v>
      </c>
      <c r="L22" s="48">
        <f t="shared" si="0"/>
        <v>0.12174462945663324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2" ht="15" customHeight="1" outlineLevel="1">
      <c r="A23" s="49" t="s">
        <v>108</v>
      </c>
      <c r="B23" s="35" t="s">
        <v>20</v>
      </c>
      <c r="C23" s="36">
        <v>22988</v>
      </c>
      <c r="D23" s="36">
        <v>23825</v>
      </c>
      <c r="E23" s="36">
        <v>24553</v>
      </c>
      <c r="F23" s="36">
        <v>23508</v>
      </c>
      <c r="G23" s="36">
        <f>SUM(C23:F23)</f>
        <v>94874</v>
      </c>
      <c r="H23" s="36">
        <f>19942+1292+1334+149+13</f>
        <v>22730</v>
      </c>
      <c r="I23" s="50">
        <v>25288</v>
      </c>
      <c r="J23" s="50">
        <f>28286-1203</f>
        <v>27083</v>
      </c>
      <c r="K23" s="50">
        <f>25989.7-574.8</f>
        <v>25414.9</v>
      </c>
      <c r="L23" s="50">
        <f>H23+I23+J23+K23</f>
        <v>100515.9</v>
      </c>
      <c r="M23" s="12"/>
      <c r="N23" s="278"/>
      <c r="O23" s="40"/>
      <c r="P23" s="168" t="s">
        <v>144</v>
      </c>
      <c r="Q23" s="168" t="s">
        <v>145</v>
      </c>
      <c r="R23" s="168" t="s">
        <v>146</v>
      </c>
      <c r="S23" s="168" t="s">
        <v>147</v>
      </c>
      <c r="T23" s="169" t="s">
        <v>148</v>
      </c>
      <c r="U23" s="40"/>
      <c r="V23" s="40"/>
      <c r="W23" s="40"/>
      <c r="X23" s="40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</row>
    <row r="24" spans="1:42" ht="15.75" customHeight="1">
      <c r="A24" s="280" t="s">
        <v>29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2"/>
      <c r="N24" s="40"/>
      <c r="O24" s="40"/>
      <c r="P24" s="153">
        <v>91</v>
      </c>
      <c r="Q24" s="153">
        <v>91</v>
      </c>
      <c r="R24" s="152">
        <v>92</v>
      </c>
      <c r="S24" s="154">
        <v>92</v>
      </c>
      <c r="T24" s="153">
        <f>SUM(P24:S24)</f>
        <v>366</v>
      </c>
      <c r="U24" s="40"/>
      <c r="V24" s="40"/>
      <c r="W24" s="100"/>
      <c r="X24" s="100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</row>
    <row r="25" spans="1:42" ht="14.25" customHeight="1">
      <c r="A25" s="51" t="s">
        <v>89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37"/>
      <c r="N25" s="147">
        <v>35</v>
      </c>
      <c r="O25" s="147">
        <v>56</v>
      </c>
      <c r="P25" s="42" t="s">
        <v>149</v>
      </c>
      <c r="Q25" s="43"/>
      <c r="R25" s="43"/>
      <c r="S25" s="43"/>
      <c r="T25" s="43"/>
      <c r="U25" s="40"/>
      <c r="V25" s="99"/>
      <c r="W25" s="107"/>
      <c r="X25" s="107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108"/>
      <c r="AP25" s="108"/>
    </row>
    <row r="26" spans="1:42" ht="14.25" customHeight="1">
      <c r="A26" s="52" t="s">
        <v>88</v>
      </c>
      <c r="B26" s="35" t="s">
        <v>14</v>
      </c>
      <c r="C26" s="53">
        <f t="shared" ref="C26:K26" si="1">C34+C35+C36+C27</f>
        <v>11.600200000000001</v>
      </c>
      <c r="D26" s="53">
        <f t="shared" si="1"/>
        <v>11.600200000000001</v>
      </c>
      <c r="E26" s="53">
        <f t="shared" si="1"/>
        <v>11.600200000000001</v>
      </c>
      <c r="F26" s="53">
        <f t="shared" si="1"/>
        <v>11.600200000000001</v>
      </c>
      <c r="G26" s="53">
        <f t="shared" si="1"/>
        <v>11.600200000000001</v>
      </c>
      <c r="H26" s="53">
        <f t="shared" si="1"/>
        <v>11.279999999999998</v>
      </c>
      <c r="I26" s="53">
        <f>I34+I35+I36+I27</f>
        <v>11.559999999999999</v>
      </c>
      <c r="J26" s="53">
        <f>J34+J35+J36+J27</f>
        <v>12.62</v>
      </c>
      <c r="K26" s="53">
        <f t="shared" si="1"/>
        <v>11.959999999999999</v>
      </c>
      <c r="L26" s="53">
        <f>(H26+I26+J26+K26)/4</f>
        <v>11.854999999999999</v>
      </c>
      <c r="M26" s="138"/>
      <c r="N26" s="150">
        <f t="shared" ref="N26:S26" si="2">N34+N35+N36+N27</f>
        <v>11.600200000000001</v>
      </c>
      <c r="O26" s="150">
        <f t="shared" si="2"/>
        <v>12.723600000000001</v>
      </c>
      <c r="P26" s="150">
        <f t="shared" si="2"/>
        <v>3.0662950527206956</v>
      </c>
      <c r="Q26" s="150">
        <f t="shared" si="2"/>
        <v>3.1635180327868855</v>
      </c>
      <c r="R26" s="150">
        <f t="shared" si="2"/>
        <v>3.1982819672131151</v>
      </c>
      <c r="S26" s="150">
        <f t="shared" si="2"/>
        <v>3.1982819672131151</v>
      </c>
      <c r="T26" s="43"/>
      <c r="U26" s="40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8"/>
      <c r="AP26" s="108"/>
    </row>
    <row r="27" spans="1:42" ht="15" customHeight="1">
      <c r="A27" s="51" t="s">
        <v>82</v>
      </c>
      <c r="B27" s="35" t="s">
        <v>14</v>
      </c>
      <c r="C27" s="53">
        <f t="shared" ref="C27:K27" si="3">SUM(C28:C33)</f>
        <v>8.2538999999999998</v>
      </c>
      <c r="D27" s="53">
        <f t="shared" si="3"/>
        <v>8.2538999999999998</v>
      </c>
      <c r="E27" s="53">
        <f t="shared" si="3"/>
        <v>8.2538999999999998</v>
      </c>
      <c r="F27" s="53">
        <f t="shared" si="3"/>
        <v>8.2538999999999998</v>
      </c>
      <c r="G27" s="53">
        <f t="shared" si="3"/>
        <v>8.2538999999999998</v>
      </c>
      <c r="H27" s="53">
        <f t="shared" si="3"/>
        <v>8.1699999999999982</v>
      </c>
      <c r="I27" s="53">
        <f>SUM(I28:I33)</f>
        <v>8.1999999999999993</v>
      </c>
      <c r="J27" s="53">
        <f t="shared" si="3"/>
        <v>8.9599999999999991</v>
      </c>
      <c r="K27" s="53">
        <f t="shared" si="3"/>
        <v>8.4799999999999986</v>
      </c>
      <c r="L27" s="53">
        <f t="shared" ref="L27:L36" si="4">(H27+I27+J27+K27)/4</f>
        <v>8.4524999999999988</v>
      </c>
      <c r="M27" s="138"/>
      <c r="N27" s="150">
        <f t="shared" ref="N27:S27" si="5">SUM(N28:N33)</f>
        <v>8.2538999999999998</v>
      </c>
      <c r="O27" s="150">
        <f t="shared" si="5"/>
        <v>9.2237000000000009</v>
      </c>
      <c r="P27" s="150">
        <f t="shared" si="5"/>
        <v>2.2005838797814206</v>
      </c>
      <c r="Q27" s="150">
        <f t="shared" si="5"/>
        <v>2.2933243169398909</v>
      </c>
      <c r="R27" s="150">
        <f t="shared" si="5"/>
        <v>2.3185256830601095</v>
      </c>
      <c r="S27" s="150">
        <f t="shared" si="5"/>
        <v>2.3185256830601095</v>
      </c>
      <c r="T27" s="43"/>
      <c r="U27" s="40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8"/>
      <c r="AP27" s="108"/>
    </row>
    <row r="28" spans="1:42" ht="14.25" customHeight="1">
      <c r="A28" s="34" t="s">
        <v>81</v>
      </c>
      <c r="B28" s="35" t="s">
        <v>14</v>
      </c>
      <c r="C28" s="166">
        <v>4.0547000000000004</v>
      </c>
      <c r="D28" s="166">
        <v>4.0547000000000004</v>
      </c>
      <c r="E28" s="166">
        <v>4.0547000000000004</v>
      </c>
      <c r="F28" s="166">
        <v>4.0547000000000004</v>
      </c>
      <c r="G28" s="46">
        <f>(C28+D28+E28+F28)/4</f>
        <v>4.0547000000000004</v>
      </c>
      <c r="H28" s="38">
        <v>4.09</v>
      </c>
      <c r="I28" s="46">
        <v>4.18</v>
      </c>
      <c r="J28" s="46">
        <v>4.1900000000000004</v>
      </c>
      <c r="K28" s="46">
        <v>4.0599999999999996</v>
      </c>
      <c r="L28" s="46">
        <f t="shared" si="4"/>
        <v>4.13</v>
      </c>
      <c r="M28" s="137"/>
      <c r="N28" s="151">
        <v>4.0547000000000004</v>
      </c>
      <c r="O28" s="155">
        <v>4.4172000000000002</v>
      </c>
      <c r="P28" s="157">
        <f t="shared" ref="P28:P33" si="6">(N28/366*35)+(O28/366*56)</f>
        <v>1.0636002732240437</v>
      </c>
      <c r="Q28" s="155">
        <f>4.4172/366*91</f>
        <v>1.0982655737704918</v>
      </c>
      <c r="R28" s="155">
        <f>4.4172/366*92</f>
        <v>1.1103344262295083</v>
      </c>
      <c r="S28" s="155">
        <f>4.4172/366*92</f>
        <v>1.1103344262295083</v>
      </c>
      <c r="T28" s="43"/>
      <c r="U28" s="40"/>
      <c r="V28" s="102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8"/>
      <c r="AP28" s="108"/>
    </row>
    <row r="29" spans="1:42" ht="14.25" customHeight="1">
      <c r="A29" s="34" t="s">
        <v>141</v>
      </c>
      <c r="B29" s="35" t="s">
        <v>14</v>
      </c>
      <c r="C29" s="166">
        <v>0.2429</v>
      </c>
      <c r="D29" s="166">
        <v>0.2429</v>
      </c>
      <c r="E29" s="166">
        <v>0.2429</v>
      </c>
      <c r="F29" s="166">
        <v>0.2429</v>
      </c>
      <c r="G29" s="46">
        <f t="shared" ref="G29:G36" si="7">(C29+D29+E29+F29)/4</f>
        <v>0.2429</v>
      </c>
      <c r="H29" s="38">
        <f>0.01+0.63</f>
        <v>0.64</v>
      </c>
      <c r="I29" s="46">
        <f>0.74+0.01</f>
        <v>0.75</v>
      </c>
      <c r="J29" s="46">
        <f>0.95+0.03</f>
        <v>0.98</v>
      </c>
      <c r="K29" s="38">
        <v>1.01</v>
      </c>
      <c r="L29" s="46">
        <f>(H29+I29+J29+K29)/4+0.02</f>
        <v>0.86499999999999999</v>
      </c>
      <c r="M29" s="137"/>
      <c r="N29" s="151">
        <v>0.2429</v>
      </c>
      <c r="O29" s="155">
        <f>0.3226</f>
        <v>0.3226</v>
      </c>
      <c r="P29" s="157">
        <f t="shared" si="6"/>
        <v>7.2587704918032778E-2</v>
      </c>
      <c r="Q29" s="155">
        <f>0.3226/366*91</f>
        <v>8.0209289617486329E-2</v>
      </c>
      <c r="R29" s="155">
        <f>0.3226/366*92</f>
        <v>8.1090710382513656E-2</v>
      </c>
      <c r="S29" s="155">
        <f>0.3226/366*92</f>
        <v>8.1090710382513656E-2</v>
      </c>
      <c r="T29" s="43"/>
      <c r="U29" s="40"/>
      <c r="V29" s="102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8"/>
      <c r="AP29" s="108"/>
    </row>
    <row r="30" spans="1:42" ht="14.25" customHeight="1">
      <c r="A30" s="54" t="s">
        <v>83</v>
      </c>
      <c r="B30" s="35" t="s">
        <v>14</v>
      </c>
      <c r="C30" s="166">
        <v>2.7427999999999999</v>
      </c>
      <c r="D30" s="166">
        <v>2.7427999999999999</v>
      </c>
      <c r="E30" s="166">
        <v>2.7427999999999999</v>
      </c>
      <c r="F30" s="166">
        <v>2.7427999999999999</v>
      </c>
      <c r="G30" s="46">
        <f t="shared" si="7"/>
        <v>2.7427999999999999</v>
      </c>
      <c r="H30" s="46">
        <v>2.14</v>
      </c>
      <c r="I30" s="46">
        <v>2.0499999999999998</v>
      </c>
      <c r="J30" s="46">
        <v>2.5</v>
      </c>
      <c r="K30" s="38">
        <v>1.95</v>
      </c>
      <c r="L30" s="46">
        <f t="shared" si="4"/>
        <v>2.1599999999999997</v>
      </c>
      <c r="M30" s="137"/>
      <c r="N30" s="151">
        <v>2.7427999999999999</v>
      </c>
      <c r="O30" s="155">
        <v>3.125</v>
      </c>
      <c r="P30" s="157">
        <f t="shared" si="6"/>
        <v>0.74043169398907105</v>
      </c>
      <c r="Q30" s="155">
        <f>3.125/366*91</f>
        <v>0.77698087431693996</v>
      </c>
      <c r="R30" s="155">
        <f>3.125/366*92</f>
        <v>0.78551912568306015</v>
      </c>
      <c r="S30" s="155">
        <f>3.125/366*92</f>
        <v>0.78551912568306015</v>
      </c>
      <c r="T30" s="43"/>
      <c r="U30" s="40"/>
      <c r="V30" s="102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8"/>
      <c r="AP30" s="108"/>
    </row>
    <row r="31" spans="1:42" ht="14.25" customHeight="1">
      <c r="A31" s="54" t="s">
        <v>84</v>
      </c>
      <c r="B31" s="35" t="s">
        <v>14</v>
      </c>
      <c r="C31" s="166">
        <v>0.60340000000000005</v>
      </c>
      <c r="D31" s="166">
        <v>0.60340000000000005</v>
      </c>
      <c r="E31" s="166">
        <v>0.60340000000000005</v>
      </c>
      <c r="F31" s="166">
        <v>0.60340000000000005</v>
      </c>
      <c r="G31" s="46">
        <f t="shared" si="7"/>
        <v>0.60340000000000005</v>
      </c>
      <c r="H31" s="46">
        <v>0.46</v>
      </c>
      <c r="I31" s="46">
        <v>0.43</v>
      </c>
      <c r="J31" s="46">
        <v>0.53</v>
      </c>
      <c r="K31" s="38">
        <v>0.41</v>
      </c>
      <c r="L31" s="46">
        <f t="shared" si="4"/>
        <v>0.45749999999999996</v>
      </c>
      <c r="M31" s="137"/>
      <c r="N31" s="151">
        <v>0.60340000000000005</v>
      </c>
      <c r="O31" s="155">
        <v>0.6875</v>
      </c>
      <c r="P31" s="157">
        <f t="shared" si="6"/>
        <v>0.1628934426229508</v>
      </c>
      <c r="Q31" s="155">
        <f>0.6875/366*91</f>
        <v>0.17093579234972678</v>
      </c>
      <c r="R31" s="155">
        <f>0.6875/366*92</f>
        <v>0.17281420765027322</v>
      </c>
      <c r="S31" s="155">
        <f>0.6875/366*92</f>
        <v>0.17281420765027322</v>
      </c>
      <c r="T31" s="43"/>
      <c r="U31" s="40"/>
      <c r="V31" s="102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8"/>
      <c r="AP31" s="108"/>
    </row>
    <row r="32" spans="1:42" ht="14.25" customHeight="1">
      <c r="A32" s="54" t="s">
        <v>85</v>
      </c>
      <c r="B32" s="35" t="s">
        <v>14</v>
      </c>
      <c r="C32" s="166">
        <v>0.44219999999999998</v>
      </c>
      <c r="D32" s="166">
        <v>0.44219999999999998</v>
      </c>
      <c r="E32" s="166">
        <v>0.44219999999999998</v>
      </c>
      <c r="F32" s="166">
        <v>0.44219999999999998</v>
      </c>
      <c r="G32" s="46">
        <f t="shared" si="7"/>
        <v>0.44219999999999998</v>
      </c>
      <c r="H32" s="46">
        <v>0.59</v>
      </c>
      <c r="I32" s="46">
        <v>0.59</v>
      </c>
      <c r="J32" s="46">
        <v>0.56999999999999995</v>
      </c>
      <c r="K32" s="38">
        <v>0.86</v>
      </c>
      <c r="L32" s="46">
        <f t="shared" si="4"/>
        <v>0.65249999999999997</v>
      </c>
      <c r="M32" s="137"/>
      <c r="N32" s="151">
        <v>0.44219999999999998</v>
      </c>
      <c r="O32" s="155">
        <v>0.44479999999999997</v>
      </c>
      <c r="P32" s="157">
        <f t="shared" si="6"/>
        <v>0.11034371584699454</v>
      </c>
      <c r="Q32" s="155">
        <f>0.4448/366*91</f>
        <v>0.11059234972677595</v>
      </c>
      <c r="R32" s="155">
        <f>0.4448/366*92</f>
        <v>0.11180765027322404</v>
      </c>
      <c r="S32" s="155">
        <f>0.4448/366*92</f>
        <v>0.11180765027322404</v>
      </c>
      <c r="T32" s="43"/>
      <c r="U32" s="40"/>
      <c r="V32" s="102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8"/>
      <c r="AP32" s="108"/>
    </row>
    <row r="33" spans="1:42" ht="14.25" customHeight="1">
      <c r="A33" s="54" t="s">
        <v>143</v>
      </c>
      <c r="B33" s="35" t="s">
        <v>14</v>
      </c>
      <c r="C33" s="166">
        <v>0.16789999999999999</v>
      </c>
      <c r="D33" s="166">
        <v>0.16789999999999999</v>
      </c>
      <c r="E33" s="166">
        <v>0.16789999999999999</v>
      </c>
      <c r="F33" s="166">
        <v>0.16789999999999999</v>
      </c>
      <c r="G33" s="46">
        <f t="shared" si="7"/>
        <v>0.16789999999999999</v>
      </c>
      <c r="H33" s="46">
        <v>0.25</v>
      </c>
      <c r="I33" s="46">
        <v>0.2</v>
      </c>
      <c r="J33" s="46">
        <v>0.19</v>
      </c>
      <c r="K33" s="38">
        <v>0.19</v>
      </c>
      <c r="L33" s="46">
        <f t="shared" si="4"/>
        <v>0.20750000000000002</v>
      </c>
      <c r="M33" s="137"/>
      <c r="N33" s="151">
        <v>0.16789999999999999</v>
      </c>
      <c r="O33" s="155">
        <v>0.2266</v>
      </c>
      <c r="P33" s="157">
        <f t="shared" si="6"/>
        <v>5.072704918032786E-2</v>
      </c>
      <c r="Q33" s="155">
        <f>0.2266/366*91</f>
        <v>5.6340437158469939E-2</v>
      </c>
      <c r="R33" s="155">
        <f>0.2266/366*92</f>
        <v>5.6959562841530045E-2</v>
      </c>
      <c r="S33" s="155">
        <f>0.2266/366*92</f>
        <v>5.6959562841530045E-2</v>
      </c>
      <c r="T33" s="43"/>
      <c r="U33" s="40"/>
      <c r="V33" s="102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8"/>
      <c r="AP33" s="108"/>
    </row>
    <row r="34" spans="1:42" ht="14.25" customHeight="1">
      <c r="A34" s="51" t="s">
        <v>80</v>
      </c>
      <c r="B34" s="35" t="s">
        <v>14</v>
      </c>
      <c r="C34" s="160">
        <v>1.9832000000000001</v>
      </c>
      <c r="D34" s="160">
        <v>1.9832000000000001</v>
      </c>
      <c r="E34" s="160">
        <v>1.9832000000000001</v>
      </c>
      <c r="F34" s="160">
        <v>1.9832000000000001</v>
      </c>
      <c r="G34" s="53">
        <f t="shared" si="7"/>
        <v>1.9832000000000001</v>
      </c>
      <c r="H34" s="127">
        <f>1.05+0.73</f>
        <v>1.78</v>
      </c>
      <c r="I34" s="53">
        <f>1.14+0.93</f>
        <v>2.0699999999999998</v>
      </c>
      <c r="J34" s="53">
        <f>1.3+0.92</f>
        <v>2.2200000000000002</v>
      </c>
      <c r="K34" s="53">
        <f>1.2+1.03</f>
        <v>2.23</v>
      </c>
      <c r="L34" s="53">
        <f t="shared" si="4"/>
        <v>2.0750000000000002</v>
      </c>
      <c r="M34" s="138"/>
      <c r="N34" s="158">
        <v>1.9832000000000001</v>
      </c>
      <c r="O34" s="156">
        <v>2.1526999999999998</v>
      </c>
      <c r="P34" s="158">
        <f>(N34/366*35)+(O34/355*56)</f>
        <v>0.52923111829446623</v>
      </c>
      <c r="Q34" s="156">
        <f>2.1527/366*91</f>
        <v>0.53523415300546451</v>
      </c>
      <c r="R34" s="156">
        <f>2.1527/366*92</f>
        <v>0.54111584699453552</v>
      </c>
      <c r="S34" s="156">
        <f>2.1527/366*92</f>
        <v>0.54111584699453552</v>
      </c>
      <c r="T34" s="43"/>
      <c r="U34" s="40"/>
      <c r="V34" s="102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8"/>
      <c r="AP34" s="108"/>
    </row>
    <row r="35" spans="1:42" ht="14.25" customHeight="1">
      <c r="A35" s="51" t="s">
        <v>86</v>
      </c>
      <c r="B35" s="35" t="s">
        <v>14</v>
      </c>
      <c r="C35" s="160">
        <v>0.66790000000000005</v>
      </c>
      <c r="D35" s="160">
        <v>0.66790000000000005</v>
      </c>
      <c r="E35" s="160">
        <v>0.66790000000000005</v>
      </c>
      <c r="F35" s="160">
        <v>0.66790000000000005</v>
      </c>
      <c r="G35" s="53">
        <f t="shared" si="7"/>
        <v>0.66790000000000005</v>
      </c>
      <c r="H35" s="127">
        <v>0.65</v>
      </c>
      <c r="I35" s="53">
        <v>0.64</v>
      </c>
      <c r="J35" s="53">
        <v>0.74</v>
      </c>
      <c r="K35" s="127">
        <v>0.61</v>
      </c>
      <c r="L35" s="53">
        <f t="shared" si="4"/>
        <v>0.66</v>
      </c>
      <c r="M35" s="138"/>
      <c r="N35" s="158">
        <v>0.66790000000000005</v>
      </c>
      <c r="O35" s="156">
        <v>0.70069999999999999</v>
      </c>
      <c r="P35" s="158">
        <f>(N35/366*35)+(O35/366*56)</f>
        <v>0.17108114754098361</v>
      </c>
      <c r="Q35" s="156">
        <f>0.7007/366*91</f>
        <v>0.17421775956284152</v>
      </c>
      <c r="R35" s="156">
        <f>0.7007/366*92</f>
        <v>0.17613224043715847</v>
      </c>
      <c r="S35" s="156">
        <f>0.7007/366*92</f>
        <v>0.17613224043715847</v>
      </c>
      <c r="T35" s="43"/>
      <c r="U35" s="40"/>
      <c r="V35" s="102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8"/>
      <c r="AP35" s="108"/>
    </row>
    <row r="36" spans="1:42" ht="14.25" customHeight="1">
      <c r="A36" s="51" t="s">
        <v>87</v>
      </c>
      <c r="B36" s="35" t="s">
        <v>14</v>
      </c>
      <c r="C36" s="160">
        <v>0.69520000000000004</v>
      </c>
      <c r="D36" s="160">
        <v>0.69520000000000004</v>
      </c>
      <c r="E36" s="160">
        <v>0.69520000000000004</v>
      </c>
      <c r="F36" s="160">
        <v>0.69520000000000004</v>
      </c>
      <c r="G36" s="53">
        <f t="shared" si="7"/>
        <v>0.69520000000000004</v>
      </c>
      <c r="H36" s="127">
        <v>0.68</v>
      </c>
      <c r="I36" s="53">
        <v>0.65</v>
      </c>
      <c r="J36" s="53">
        <v>0.7</v>
      </c>
      <c r="K36" s="127">
        <v>0.64</v>
      </c>
      <c r="L36" s="53">
        <f t="shared" si="4"/>
        <v>0.66750000000000009</v>
      </c>
      <c r="M36" s="138"/>
      <c r="N36" s="158">
        <v>0.69520000000000004</v>
      </c>
      <c r="O36" s="156">
        <v>0.64649999999999996</v>
      </c>
      <c r="P36" s="158">
        <f>(N36/366*35)+(O36/366*56)</f>
        <v>0.16539890710382513</v>
      </c>
      <c r="Q36" s="156">
        <f>0.6465/366*91</f>
        <v>0.16074180327868851</v>
      </c>
      <c r="R36" s="156">
        <f>0.6465/366*92</f>
        <v>0.16250819672131145</v>
      </c>
      <c r="S36" s="156">
        <f>0.6465/366*92</f>
        <v>0.16250819672131145</v>
      </c>
      <c r="T36" s="43"/>
      <c r="U36" s="40"/>
      <c r="V36" s="102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8"/>
      <c r="AP36" s="108"/>
    </row>
    <row r="37" spans="1:42" ht="15.75">
      <c r="A37" s="55"/>
      <c r="B37" s="56"/>
      <c r="C37" s="57"/>
      <c r="D37" s="57"/>
      <c r="E37" s="57"/>
      <c r="F37" s="57"/>
      <c r="G37" s="58"/>
      <c r="H37" s="57"/>
      <c r="I37" s="57"/>
      <c r="J37" s="57"/>
      <c r="K37" s="57"/>
      <c r="L37" s="57"/>
      <c r="M37" s="137"/>
      <c r="N37" s="151"/>
      <c r="O37" s="151"/>
      <c r="P37" s="157"/>
      <c r="Q37" s="146"/>
      <c r="R37" s="43"/>
      <c r="S37" s="43"/>
      <c r="T37" s="43"/>
      <c r="U37" s="40"/>
      <c r="V37" s="4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08"/>
      <c r="AP37" s="108"/>
    </row>
    <row r="38" spans="1:42" ht="17.25" customHeight="1">
      <c r="A38" s="51" t="s">
        <v>90</v>
      </c>
      <c r="B38" s="3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137"/>
      <c r="N38" s="151"/>
      <c r="O38" s="151"/>
      <c r="P38" s="157"/>
      <c r="Q38" s="146"/>
      <c r="R38" s="43"/>
      <c r="S38" s="43"/>
      <c r="T38" s="43"/>
      <c r="U38" s="40"/>
      <c r="V38" s="4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08"/>
      <c r="AP38" s="108"/>
    </row>
    <row r="39" spans="1:42" ht="15.75">
      <c r="A39" s="52" t="s">
        <v>88</v>
      </c>
      <c r="B39" s="35" t="s">
        <v>14</v>
      </c>
      <c r="C39" s="53">
        <f>C47+C48+C49+C40</f>
        <v>12.625399999999999</v>
      </c>
      <c r="D39" s="53">
        <f>D47+D48+D49+D40</f>
        <v>12.625399999999999</v>
      </c>
      <c r="E39" s="53">
        <f>E47+E48+E49+E40</f>
        <v>12.625399999999999</v>
      </c>
      <c r="F39" s="53">
        <f>F47+F48+F49+F40</f>
        <v>12.625399999999999</v>
      </c>
      <c r="G39" s="53">
        <f>G47+G48+G49+G40</f>
        <v>12.625399999999999</v>
      </c>
      <c r="H39" s="53">
        <f>H40+H47+H48+H49</f>
        <v>13.190000000000001</v>
      </c>
      <c r="I39" s="53">
        <f>I40+I47+I48+I49</f>
        <v>14.26</v>
      </c>
      <c r="J39" s="53">
        <f>J40+J47+J48+J49</f>
        <v>15.320000000000002</v>
      </c>
      <c r="K39" s="53">
        <f>K40+K47+K48+K49</f>
        <v>15.21</v>
      </c>
      <c r="L39" s="53">
        <f>(H39+I39+J39+K39)/4</f>
        <v>14.495000000000001</v>
      </c>
      <c r="M39" s="139"/>
      <c r="N39" s="150">
        <f t="shared" ref="N39:S39" si="8">N47+N48+N49+N40</f>
        <v>12.625399999999999</v>
      </c>
      <c r="O39" s="150">
        <f t="shared" si="8"/>
        <v>16.023099999999999</v>
      </c>
      <c r="P39" s="150">
        <f t="shared" si="8"/>
        <v>3.6589688524590165</v>
      </c>
      <c r="Q39" s="150">
        <f t="shared" si="8"/>
        <v>3.9838855191256837</v>
      </c>
      <c r="R39" s="150">
        <f t="shared" si="8"/>
        <v>4.0276644808743161</v>
      </c>
      <c r="S39" s="150">
        <f t="shared" si="8"/>
        <v>4.0276644808743161</v>
      </c>
      <c r="T39" s="148"/>
      <c r="U39" s="40"/>
      <c r="V39" s="66"/>
      <c r="W39" s="66"/>
      <c r="X39" s="66"/>
      <c r="Y39" s="40"/>
      <c r="Z39" s="66"/>
      <c r="AA39" s="66"/>
      <c r="AB39" s="66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2" ht="16.5" customHeight="1">
      <c r="A40" s="51" t="s">
        <v>82</v>
      </c>
      <c r="B40" s="35" t="s">
        <v>14</v>
      </c>
      <c r="C40" s="53">
        <f t="shared" ref="C40:K40" si="9">SUM(C41:C46)</f>
        <v>9.8349999999999991</v>
      </c>
      <c r="D40" s="53">
        <f t="shared" si="9"/>
        <v>9.8349999999999991</v>
      </c>
      <c r="E40" s="53">
        <f t="shared" si="9"/>
        <v>9.8349999999999991</v>
      </c>
      <c r="F40" s="53">
        <f t="shared" si="9"/>
        <v>9.8349999999999991</v>
      </c>
      <c r="G40" s="53">
        <f t="shared" si="9"/>
        <v>9.8349999999999991</v>
      </c>
      <c r="H40" s="53">
        <f t="shared" si="9"/>
        <v>10.14</v>
      </c>
      <c r="I40" s="53">
        <f>SUM(I41:I46)</f>
        <v>11.049999999999999</v>
      </c>
      <c r="J40" s="53">
        <f>SUM(J41:J46)</f>
        <v>11.910000000000002</v>
      </c>
      <c r="K40" s="53">
        <f t="shared" si="9"/>
        <v>10.96</v>
      </c>
      <c r="L40" s="53">
        <f t="shared" ref="L40:L49" si="10">(H40+I40+J40+K40)/4</f>
        <v>11.015000000000001</v>
      </c>
      <c r="M40" s="139"/>
      <c r="N40" s="150">
        <f t="shared" ref="N40:S40" si="11">SUM(N41:N46)</f>
        <v>9.8349999999999991</v>
      </c>
      <c r="O40" s="150">
        <f t="shared" si="11"/>
        <v>12.4559</v>
      </c>
      <c r="P40" s="150">
        <f t="shared" si="11"/>
        <v>2.8463262295081968</v>
      </c>
      <c r="Q40" s="150">
        <f t="shared" si="11"/>
        <v>3.0969587431693992</v>
      </c>
      <c r="R40" s="150">
        <f t="shared" si="11"/>
        <v>3.1309912568306006</v>
      </c>
      <c r="S40" s="150">
        <f t="shared" si="11"/>
        <v>3.1309912568306006</v>
      </c>
      <c r="T40" s="148"/>
      <c r="U40" s="102"/>
      <c r="V40" s="66"/>
      <c r="W40" s="66"/>
      <c r="X40" s="66"/>
      <c r="Y40" s="104"/>
      <c r="Z40" s="66"/>
      <c r="AA40" s="66"/>
      <c r="AB40" s="66"/>
      <c r="AC40" s="104"/>
      <c r="AD40" s="105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2" ht="17.25" customHeight="1">
      <c r="A41" s="34" t="s">
        <v>81</v>
      </c>
      <c r="B41" s="35" t="s">
        <v>14</v>
      </c>
      <c r="C41" s="166">
        <v>2.2035</v>
      </c>
      <c r="D41" s="166">
        <v>2.2035</v>
      </c>
      <c r="E41" s="166">
        <v>2.2035</v>
      </c>
      <c r="F41" s="166">
        <v>2.2035</v>
      </c>
      <c r="G41" s="161">
        <v>2.2035</v>
      </c>
      <c r="H41" s="38">
        <v>2.3199999999999998</v>
      </c>
      <c r="I41" s="46">
        <v>1.87</v>
      </c>
      <c r="J41" s="46">
        <v>1.81</v>
      </c>
      <c r="K41" s="38">
        <v>2.33</v>
      </c>
      <c r="L41" s="46">
        <f t="shared" si="10"/>
        <v>2.0825</v>
      </c>
      <c r="M41" s="140"/>
      <c r="N41" s="155">
        <v>2.2035</v>
      </c>
      <c r="O41" s="155">
        <v>2.2761999999999998</v>
      </c>
      <c r="P41" s="159">
        <f t="shared" ref="P41:P49" si="12">(N41/366*35)+(O41/366*56)</f>
        <v>0.55898825136612018</v>
      </c>
      <c r="Q41" s="155">
        <f>2.2762/366*91</f>
        <v>0.56594043715846987</v>
      </c>
      <c r="R41" s="155">
        <f>2.2762/366*92</f>
        <v>0.57215956284152991</v>
      </c>
      <c r="S41" s="155">
        <f>2.2762/366*92</f>
        <v>0.57215956284152991</v>
      </c>
      <c r="T41" s="149"/>
      <c r="U41" s="102"/>
      <c r="V41" s="103"/>
      <c r="W41" s="103"/>
      <c r="X41" s="103"/>
      <c r="Y41" s="106"/>
      <c r="Z41" s="103"/>
      <c r="AA41" s="103"/>
      <c r="AB41" s="103"/>
      <c r="AC41" s="106"/>
      <c r="AD41" s="105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2" ht="15.75" customHeight="1">
      <c r="A42" s="34" t="s">
        <v>142</v>
      </c>
      <c r="B42" s="35" t="s">
        <v>14</v>
      </c>
      <c r="C42" s="166">
        <f>0.0084+0.2456</f>
        <v>0.254</v>
      </c>
      <c r="D42" s="166">
        <f>0.0084+0.2456</f>
        <v>0.254</v>
      </c>
      <c r="E42" s="166">
        <f>0.0084+0.2456</f>
        <v>0.254</v>
      </c>
      <c r="F42" s="166">
        <f>0.0084+0.2456</f>
        <v>0.254</v>
      </c>
      <c r="G42" s="161">
        <f>0.0084+0.2456</f>
        <v>0.254</v>
      </c>
      <c r="H42" s="38">
        <f>0.36+0.05</f>
        <v>0.41</v>
      </c>
      <c r="I42" s="38">
        <f>0.13+0.59</f>
        <v>0.72</v>
      </c>
      <c r="J42" s="46">
        <f>0.1+0.74</f>
        <v>0.84</v>
      </c>
      <c r="K42" s="38">
        <v>0.78</v>
      </c>
      <c r="L42" s="46">
        <f t="shared" si="10"/>
        <v>0.6875</v>
      </c>
      <c r="M42" s="137"/>
      <c r="N42" s="151">
        <f>0.0084+0.2456</f>
        <v>0.254</v>
      </c>
      <c r="O42" s="155">
        <f>0.0119+0.4626</f>
        <v>0.47450000000000003</v>
      </c>
      <c r="P42" s="157">
        <f t="shared" si="12"/>
        <v>9.6890710382513665E-2</v>
      </c>
      <c r="Q42" s="155">
        <f>(0.0119+0.4626)/366*91</f>
        <v>0.11797677595628416</v>
      </c>
      <c r="R42" s="155">
        <f>(0.0119+0.4626)/366*92</f>
        <v>0.11927322404371585</v>
      </c>
      <c r="S42" s="155">
        <f>(0.0119+0.4626)/366*92</f>
        <v>0.11927322404371585</v>
      </c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1:42" ht="15.75">
      <c r="A43" s="54" t="s">
        <v>83</v>
      </c>
      <c r="B43" s="35" t="s">
        <v>14</v>
      </c>
      <c r="C43" s="166">
        <v>5.4928999999999997</v>
      </c>
      <c r="D43" s="166">
        <v>5.4928999999999997</v>
      </c>
      <c r="E43" s="166">
        <v>5.4928999999999997</v>
      </c>
      <c r="F43" s="166">
        <v>5.4928999999999997</v>
      </c>
      <c r="G43" s="161">
        <v>5.4928999999999997</v>
      </c>
      <c r="H43" s="46">
        <v>5.18</v>
      </c>
      <c r="I43" s="46">
        <v>6.02</v>
      </c>
      <c r="J43" s="46">
        <v>6.57</v>
      </c>
      <c r="K43" s="38">
        <v>5.37</v>
      </c>
      <c r="L43" s="46">
        <f t="shared" si="10"/>
        <v>5.7850000000000001</v>
      </c>
      <c r="M43" s="137"/>
      <c r="N43" s="151">
        <v>5.4928999999999997</v>
      </c>
      <c r="O43" s="155">
        <v>6.9954999999999998</v>
      </c>
      <c r="P43" s="157">
        <f t="shared" si="12"/>
        <v>1.5956270491803277</v>
      </c>
      <c r="Q43" s="155">
        <f>6.9955/366*91</f>
        <v>1.739318306010929</v>
      </c>
      <c r="R43" s="155">
        <f>6.9955/366*92</f>
        <v>1.758431693989071</v>
      </c>
      <c r="S43" s="155">
        <f>6.9955/366*92</f>
        <v>1.758431693989071</v>
      </c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2" ht="15.75" customHeight="1">
      <c r="A44" s="54" t="s">
        <v>84</v>
      </c>
      <c r="B44" s="35" t="s">
        <v>14</v>
      </c>
      <c r="C44" s="166">
        <v>1.2083999999999999</v>
      </c>
      <c r="D44" s="166">
        <v>1.2083999999999999</v>
      </c>
      <c r="E44" s="166">
        <v>1.2083999999999999</v>
      </c>
      <c r="F44" s="166">
        <v>1.2083999999999999</v>
      </c>
      <c r="G44" s="161">
        <v>1.2083999999999999</v>
      </c>
      <c r="H44" s="46">
        <v>1.1200000000000001</v>
      </c>
      <c r="I44" s="46">
        <v>1.3</v>
      </c>
      <c r="J44" s="46">
        <v>1.41</v>
      </c>
      <c r="K44" s="38">
        <v>1.18</v>
      </c>
      <c r="L44" s="46">
        <f t="shared" si="10"/>
        <v>1.2524999999999999</v>
      </c>
      <c r="M44" s="137"/>
      <c r="N44" s="151">
        <v>1.2083999999999999</v>
      </c>
      <c r="O44" s="155">
        <v>1.5389999999999999</v>
      </c>
      <c r="P44" s="157">
        <f t="shared" si="12"/>
        <v>0.35103278688524586</v>
      </c>
      <c r="Q44" s="155">
        <f>1.539/366*91</f>
        <v>0.38264754098360659</v>
      </c>
      <c r="R44" s="155">
        <f>1.539/366*92</f>
        <v>0.38685245901639348</v>
      </c>
      <c r="S44" s="155">
        <f>1.539/366*92</f>
        <v>0.38685245901639348</v>
      </c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2" ht="17.25" customHeight="1">
      <c r="A45" s="54" t="s">
        <v>85</v>
      </c>
      <c r="B45" s="35" t="s">
        <v>14</v>
      </c>
      <c r="C45" s="166">
        <v>0.37840000000000001</v>
      </c>
      <c r="D45" s="166">
        <v>0.37840000000000001</v>
      </c>
      <c r="E45" s="166">
        <v>0.37840000000000001</v>
      </c>
      <c r="F45" s="166">
        <v>0.37840000000000001</v>
      </c>
      <c r="G45" s="161">
        <v>0.37840000000000001</v>
      </c>
      <c r="H45" s="46">
        <v>0.66</v>
      </c>
      <c r="I45" s="46">
        <v>0.7</v>
      </c>
      <c r="J45" s="46">
        <v>0.65</v>
      </c>
      <c r="K45" s="38">
        <v>0.9</v>
      </c>
      <c r="L45" s="46">
        <f t="shared" si="10"/>
        <v>0.72749999999999992</v>
      </c>
      <c r="M45" s="137"/>
      <c r="N45" s="151">
        <v>0.37840000000000001</v>
      </c>
      <c r="O45" s="155">
        <v>0.6321</v>
      </c>
      <c r="P45" s="157">
        <f t="shared" si="12"/>
        <v>0.13290054644808744</v>
      </c>
      <c r="Q45" s="155">
        <f>0.6321/366*91</f>
        <v>0.15716147540983605</v>
      </c>
      <c r="R45" s="155">
        <f>0.6321/366*92</f>
        <v>0.15888852459016392</v>
      </c>
      <c r="S45" s="155">
        <f>0.6321/366*92</f>
        <v>0.15888852459016392</v>
      </c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2" ht="17.25" customHeight="1">
      <c r="A46" s="54" t="s">
        <v>143</v>
      </c>
      <c r="B46" s="35" t="s">
        <v>14</v>
      </c>
      <c r="C46" s="166">
        <v>0.29780000000000001</v>
      </c>
      <c r="D46" s="166">
        <v>0.29780000000000001</v>
      </c>
      <c r="E46" s="166">
        <v>0.29780000000000001</v>
      </c>
      <c r="F46" s="166">
        <v>0.29780000000000001</v>
      </c>
      <c r="G46" s="161">
        <v>0.29780000000000001</v>
      </c>
      <c r="H46" s="46">
        <v>0.45</v>
      </c>
      <c r="I46" s="46">
        <v>0.44</v>
      </c>
      <c r="J46" s="46">
        <f>0.42+0.21</f>
        <v>0.63</v>
      </c>
      <c r="K46" s="38">
        <v>0.4</v>
      </c>
      <c r="L46" s="46">
        <f t="shared" si="10"/>
        <v>0.48</v>
      </c>
      <c r="M46" s="137"/>
      <c r="N46" s="151">
        <v>0.29780000000000001</v>
      </c>
      <c r="O46" s="155">
        <v>0.53859999999999997</v>
      </c>
      <c r="P46" s="157">
        <f t="shared" si="12"/>
        <v>0.11088688524590164</v>
      </c>
      <c r="Q46" s="155">
        <f>0.5386/366*91</f>
        <v>0.13391420765027323</v>
      </c>
      <c r="R46" s="155">
        <f>0.5386/366*92</f>
        <v>0.13538579234972678</v>
      </c>
      <c r="S46" s="155">
        <f>0.5386/366*92</f>
        <v>0.13538579234972678</v>
      </c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2" ht="18" customHeight="1">
      <c r="A47" s="51" t="s">
        <v>80</v>
      </c>
      <c r="B47" s="35" t="s">
        <v>14</v>
      </c>
      <c r="C47" s="160">
        <v>1.478</v>
      </c>
      <c r="D47" s="160">
        <v>1.478</v>
      </c>
      <c r="E47" s="160">
        <v>1.478</v>
      </c>
      <c r="F47" s="160">
        <v>1.478</v>
      </c>
      <c r="G47" s="160">
        <v>1.478</v>
      </c>
      <c r="H47" s="127">
        <f>1.24+0.24</f>
        <v>1.48</v>
      </c>
      <c r="I47" s="53">
        <f>1.42+0.18</f>
        <v>1.5999999999999999</v>
      </c>
      <c r="J47" s="53">
        <v>1.62</v>
      </c>
      <c r="K47" s="127">
        <f>1.57+1.04</f>
        <v>2.6100000000000003</v>
      </c>
      <c r="L47" s="53">
        <f t="shared" si="10"/>
        <v>1.8275000000000001</v>
      </c>
      <c r="M47" s="137"/>
      <c r="N47" s="158">
        <v>1.478</v>
      </c>
      <c r="O47" s="156">
        <v>1.8703000000000001</v>
      </c>
      <c r="P47" s="157">
        <f t="shared" si="12"/>
        <v>0.42750491803278695</v>
      </c>
      <c r="Q47" s="156">
        <f>1.8703/366*91</f>
        <v>0.46501994535519131</v>
      </c>
      <c r="R47" s="156">
        <f>1.8703/366*92</f>
        <v>0.47013005464480878</v>
      </c>
      <c r="S47" s="156">
        <f>1.8703/366*92</f>
        <v>0.47013005464480878</v>
      </c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2" ht="15.75" customHeight="1">
      <c r="A48" s="51" t="s">
        <v>86</v>
      </c>
      <c r="B48" s="35" t="s">
        <v>14</v>
      </c>
      <c r="C48" s="160">
        <v>0.6462</v>
      </c>
      <c r="D48" s="160">
        <v>0.6462</v>
      </c>
      <c r="E48" s="160">
        <v>0.6462</v>
      </c>
      <c r="F48" s="160">
        <v>0.6462</v>
      </c>
      <c r="G48" s="160">
        <v>0.6462</v>
      </c>
      <c r="H48" s="53">
        <v>0.77</v>
      </c>
      <c r="I48" s="53">
        <v>0.8</v>
      </c>
      <c r="J48" s="53">
        <v>0.91</v>
      </c>
      <c r="K48" s="127">
        <v>0.8</v>
      </c>
      <c r="L48" s="53">
        <f t="shared" si="10"/>
        <v>0.82000000000000006</v>
      </c>
      <c r="M48" s="137"/>
      <c r="N48" s="158">
        <v>0.6462</v>
      </c>
      <c r="O48" s="156">
        <v>0.88260000000000005</v>
      </c>
      <c r="P48" s="157">
        <f t="shared" si="12"/>
        <v>0.19683770491803282</v>
      </c>
      <c r="Q48" s="156">
        <f>0.8826/366*91</f>
        <v>0.21944426229508199</v>
      </c>
      <c r="R48" s="156">
        <f>0.8826/366*92</f>
        <v>0.22185573770491807</v>
      </c>
      <c r="S48" s="156">
        <f>0.8826/366*92</f>
        <v>0.22185573770491807</v>
      </c>
      <c r="T48" s="43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1:20" ht="14.25" customHeight="1">
      <c r="A49" s="51" t="s">
        <v>87</v>
      </c>
      <c r="B49" s="35" t="s">
        <v>14</v>
      </c>
      <c r="C49" s="160">
        <v>0.66620000000000001</v>
      </c>
      <c r="D49" s="160">
        <v>0.66620000000000001</v>
      </c>
      <c r="E49" s="160">
        <v>0.66620000000000001</v>
      </c>
      <c r="F49" s="160">
        <v>0.66620000000000001</v>
      </c>
      <c r="G49" s="160">
        <v>0.66620000000000001</v>
      </c>
      <c r="H49" s="53">
        <v>0.8</v>
      </c>
      <c r="I49" s="53">
        <v>0.81</v>
      </c>
      <c r="J49" s="53">
        <v>0.88</v>
      </c>
      <c r="K49" s="127">
        <v>0.84</v>
      </c>
      <c r="L49" s="53">
        <f t="shared" si="10"/>
        <v>0.83250000000000002</v>
      </c>
      <c r="M49" s="137"/>
      <c r="N49" s="158">
        <v>0.66620000000000001</v>
      </c>
      <c r="O49" s="156">
        <v>0.81430000000000002</v>
      </c>
      <c r="P49" s="157">
        <f t="shared" si="12"/>
        <v>0.18830000000000002</v>
      </c>
      <c r="Q49" s="156">
        <f>0.8143/366*91</f>
        <v>0.20246256830601095</v>
      </c>
      <c r="R49" s="156">
        <f>0.8143/366*92</f>
        <v>0.20468743169398909</v>
      </c>
      <c r="S49" s="156">
        <f>0.8143/366*92</f>
        <v>0.20468743169398909</v>
      </c>
      <c r="T49" s="43"/>
    </row>
    <row r="50" spans="1:20" ht="18" customHeight="1">
      <c r="A50" s="34" t="s">
        <v>92</v>
      </c>
      <c r="B50" s="35" t="s">
        <v>14</v>
      </c>
      <c r="C50" s="143">
        <v>9617</v>
      </c>
      <c r="D50" s="143">
        <v>9617</v>
      </c>
      <c r="E50" s="143">
        <v>9617</v>
      </c>
      <c r="F50" s="143">
        <v>9617</v>
      </c>
      <c r="G50" s="136">
        <f>(C50+D50+E50+F50)/4</f>
        <v>9617</v>
      </c>
      <c r="H50" s="36">
        <v>8857.7000000000007</v>
      </c>
      <c r="I50" s="36">
        <v>9722.9</v>
      </c>
      <c r="J50" s="38">
        <f>зпл.!F21</f>
        <v>9327.1604938271594</v>
      </c>
      <c r="K50" s="38">
        <f>зпл.!F21</f>
        <v>9327.1604938271594</v>
      </c>
      <c r="L50" s="46">
        <f>(H50+I50+J50+K50)/4</f>
        <v>9308.7302469135793</v>
      </c>
    </row>
    <row r="51" spans="1:20" ht="19.5" customHeight="1">
      <c r="A51" s="34" t="s">
        <v>15</v>
      </c>
      <c r="B51" s="35" t="s">
        <v>20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8">
        <v>0</v>
      </c>
      <c r="J51" s="38">
        <v>0</v>
      </c>
      <c r="K51" s="38">
        <v>0</v>
      </c>
      <c r="L51" s="46">
        <f>H51</f>
        <v>0</v>
      </c>
    </row>
    <row r="52" spans="1:20" ht="15.75">
      <c r="A52" s="34" t="s">
        <v>16</v>
      </c>
      <c r="B52" s="35" t="s">
        <v>20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8">
        <v>0</v>
      </c>
      <c r="I52" s="38">
        <v>0</v>
      </c>
      <c r="J52" s="38">
        <v>0</v>
      </c>
      <c r="K52" s="38">
        <v>0</v>
      </c>
      <c r="L52" s="46">
        <f>H52</f>
        <v>0</v>
      </c>
    </row>
    <row r="53" spans="1:20" ht="18" customHeight="1">
      <c r="A53" s="34" t="s">
        <v>17</v>
      </c>
      <c r="B53" s="35" t="s">
        <v>20</v>
      </c>
      <c r="C53" s="36"/>
      <c r="D53" s="36"/>
      <c r="E53" s="36"/>
      <c r="F53" s="36"/>
      <c r="G53" s="36"/>
      <c r="H53" s="37">
        <v>31</v>
      </c>
      <c r="I53" s="36">
        <v>76.3</v>
      </c>
      <c r="J53" s="38">
        <v>146.69999999999999</v>
      </c>
      <c r="K53" s="38">
        <v>108.1</v>
      </c>
      <c r="L53" s="39">
        <v>108.1</v>
      </c>
    </row>
    <row r="54" spans="1:20" ht="11.25" customHeight="1">
      <c r="A54" s="162" t="s">
        <v>18</v>
      </c>
      <c r="B54" s="35"/>
      <c r="C54" s="63"/>
      <c r="D54" s="63"/>
      <c r="E54" s="63"/>
      <c r="F54" s="63"/>
      <c r="G54" s="63"/>
      <c r="H54" s="36"/>
      <c r="I54" s="38"/>
      <c r="J54" s="38"/>
      <c r="K54" s="141"/>
      <c r="L54" s="46"/>
    </row>
    <row r="55" spans="1:20" ht="14.25" customHeight="1">
      <c r="A55" s="34" t="s">
        <v>19</v>
      </c>
      <c r="B55" s="35" t="s">
        <v>20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8">
        <v>0</v>
      </c>
      <c r="J55" s="38">
        <v>0</v>
      </c>
      <c r="K55" s="38">
        <v>0</v>
      </c>
      <c r="L55" s="39">
        <f t="shared" ref="L55:L60" si="13">I55</f>
        <v>0</v>
      </c>
    </row>
    <row r="56" spans="1:20" ht="16.5" customHeight="1">
      <c r="A56" s="34" t="s">
        <v>28</v>
      </c>
      <c r="B56" s="35" t="s">
        <v>20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8">
        <v>0</v>
      </c>
      <c r="J56" s="38">
        <v>0</v>
      </c>
      <c r="K56" s="38">
        <v>0</v>
      </c>
      <c r="L56" s="39">
        <f t="shared" si="13"/>
        <v>0</v>
      </c>
    </row>
    <row r="57" spans="1:20" ht="30.75" customHeight="1">
      <c r="A57" s="34" t="s">
        <v>31</v>
      </c>
      <c r="B57" s="35" t="s">
        <v>20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7">
        <v>0</v>
      </c>
      <c r="I57" s="36">
        <v>3.5</v>
      </c>
      <c r="J57" s="38">
        <v>3.5</v>
      </c>
      <c r="K57" s="38">
        <v>3.5</v>
      </c>
      <c r="L57" s="39">
        <f t="shared" si="13"/>
        <v>3.5</v>
      </c>
    </row>
    <row r="58" spans="1:20" ht="18.75" customHeight="1">
      <c r="A58" s="34" t="s">
        <v>35</v>
      </c>
      <c r="B58" s="35" t="s">
        <v>20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9">
        <v>0</v>
      </c>
      <c r="J58" s="38">
        <v>0</v>
      </c>
      <c r="K58" s="38">
        <v>0</v>
      </c>
      <c r="L58" s="39">
        <f t="shared" si="13"/>
        <v>0</v>
      </c>
    </row>
    <row r="59" spans="1:20" ht="18.75" customHeight="1">
      <c r="A59" s="34" t="s">
        <v>91</v>
      </c>
      <c r="B59" s="35" t="s">
        <v>20</v>
      </c>
      <c r="C59" s="36"/>
      <c r="D59" s="36"/>
      <c r="E59" s="36"/>
      <c r="F59" s="36"/>
      <c r="G59" s="36"/>
      <c r="H59" s="36">
        <v>8392.9</v>
      </c>
      <c r="I59" s="36">
        <v>9216.5</v>
      </c>
      <c r="J59" s="38">
        <v>9543.6</v>
      </c>
      <c r="K59" s="38">
        <v>9628.6</v>
      </c>
      <c r="L59" s="39">
        <v>9628.6</v>
      </c>
    </row>
    <row r="60" spans="1:20" ht="31.5" customHeight="1">
      <c r="A60" s="34" t="s">
        <v>21</v>
      </c>
      <c r="B60" s="35" t="s">
        <v>20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9">
        <v>0</v>
      </c>
      <c r="I60" s="36">
        <v>0</v>
      </c>
      <c r="J60" s="38">
        <v>0</v>
      </c>
      <c r="K60" s="38">
        <v>0</v>
      </c>
      <c r="L60" s="39">
        <f t="shared" si="13"/>
        <v>0</v>
      </c>
    </row>
    <row r="61" spans="1:20" ht="6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</row>
    <row r="62" spans="1:20" ht="14.25" customHeight="1">
      <c r="A62" s="3" t="s">
        <v>30</v>
      </c>
      <c r="B62" s="2"/>
      <c r="C62" s="2"/>
      <c r="D62" s="2"/>
      <c r="E62" s="2"/>
      <c r="F62" s="2"/>
      <c r="G62" s="2"/>
      <c r="H62" s="8"/>
      <c r="I62" s="8"/>
      <c r="J62" s="8"/>
      <c r="K62" s="8"/>
      <c r="L62" s="8"/>
    </row>
    <row r="63" spans="1:20" ht="15.75">
      <c r="A63" s="1"/>
      <c r="B63" s="2"/>
      <c r="C63" s="2"/>
      <c r="D63" s="2"/>
      <c r="E63" s="2"/>
      <c r="F63" s="2"/>
      <c r="G63" s="2"/>
      <c r="H63" s="8"/>
      <c r="I63" s="8"/>
      <c r="J63" s="8"/>
      <c r="K63" s="8"/>
      <c r="L63" s="8"/>
    </row>
    <row r="64" spans="1:20" ht="15.75">
      <c r="A64" s="1"/>
      <c r="B64" s="2"/>
      <c r="C64" s="2"/>
      <c r="D64" s="2"/>
      <c r="E64" s="2"/>
      <c r="F64" s="2"/>
      <c r="G64" s="2"/>
      <c r="H64" s="8"/>
      <c r="I64" s="8"/>
      <c r="J64" s="8"/>
      <c r="K64" s="8"/>
      <c r="L64" s="8"/>
    </row>
    <row r="65" spans="1:12" ht="15.75">
      <c r="A65" s="1" t="s">
        <v>26</v>
      </c>
      <c r="B65" s="2"/>
      <c r="C65" s="2"/>
      <c r="D65" s="2"/>
      <c r="E65" s="2"/>
      <c r="F65" s="2"/>
      <c r="G65" s="2"/>
      <c r="H65" s="8"/>
      <c r="I65" s="8"/>
      <c r="J65" s="8"/>
      <c r="K65" s="9" t="s">
        <v>130</v>
      </c>
      <c r="L65" s="8"/>
    </row>
    <row r="66" spans="1:12" ht="15.75">
      <c r="A66" s="1"/>
      <c r="B66" s="2"/>
      <c r="C66" s="2"/>
      <c r="D66" s="2"/>
      <c r="E66" s="2"/>
      <c r="F66" s="2"/>
      <c r="G66" s="2"/>
      <c r="H66" s="8"/>
      <c r="I66" s="8"/>
      <c r="J66" s="8"/>
      <c r="K66" s="8"/>
      <c r="L66" s="8"/>
    </row>
    <row r="67" spans="1:12">
      <c r="A67" s="2"/>
      <c r="B67" s="2"/>
      <c r="C67" s="2"/>
      <c r="D67" s="2"/>
      <c r="E67" s="2"/>
      <c r="F67" s="2"/>
      <c r="G67" s="2"/>
      <c r="H67" s="8"/>
      <c r="I67" s="8"/>
      <c r="J67" s="8"/>
      <c r="K67" s="8"/>
      <c r="L67" s="8"/>
    </row>
    <row r="68" spans="1:12">
      <c r="A68" s="2" t="s">
        <v>167</v>
      </c>
      <c r="B68" s="2"/>
      <c r="C68" s="2"/>
      <c r="D68" s="2"/>
      <c r="E68" s="2"/>
      <c r="F68" s="2"/>
      <c r="G68" s="2"/>
      <c r="H68" s="8"/>
      <c r="I68" s="8"/>
      <c r="J68" s="8"/>
      <c r="K68" s="8"/>
      <c r="L68" s="8"/>
    </row>
    <row r="69" spans="1:12">
      <c r="A69" s="2" t="s">
        <v>166</v>
      </c>
      <c r="B69" s="2"/>
      <c r="C69" s="2"/>
      <c r="D69" s="2"/>
      <c r="E69" s="2"/>
      <c r="F69" s="2"/>
      <c r="G69" s="2"/>
      <c r="H69" s="8"/>
      <c r="I69" s="8"/>
      <c r="J69" s="8"/>
      <c r="K69" s="8"/>
      <c r="L69" s="8"/>
    </row>
  </sheetData>
  <mergeCells count="29">
    <mergeCell ref="A1:L1"/>
    <mergeCell ref="A2:L2"/>
    <mergeCell ref="A12:A14"/>
    <mergeCell ref="B12:B14"/>
    <mergeCell ref="C12:G12"/>
    <mergeCell ref="H12:L12"/>
    <mergeCell ref="C13:F13"/>
    <mergeCell ref="G13:G14"/>
    <mergeCell ref="H13:K13"/>
    <mergeCell ref="L13:L14"/>
    <mergeCell ref="Y25:AB25"/>
    <mergeCell ref="AC25:AF25"/>
    <mergeCell ref="AG25:AJ25"/>
    <mergeCell ref="AK25:AN25"/>
    <mergeCell ref="AA24:AB24"/>
    <mergeCell ref="AE24:AF24"/>
    <mergeCell ref="AG24:AH24"/>
    <mergeCell ref="AI24:AJ24"/>
    <mergeCell ref="Y24:Z24"/>
    <mergeCell ref="AC24:AD24"/>
    <mergeCell ref="B4:D4"/>
    <mergeCell ref="A18:K18"/>
    <mergeCell ref="A24:L24"/>
    <mergeCell ref="AK23:AN23"/>
    <mergeCell ref="AK24:AL24"/>
    <mergeCell ref="AM24:AN24"/>
    <mergeCell ref="AG23:AJ23"/>
    <mergeCell ref="Y23:AB23"/>
    <mergeCell ref="AC23:AF23"/>
  </mergeCells>
  <phoneticPr fontId="5" type="noConversion"/>
  <pageMargins left="0" right="0" top="0.35433070866141736" bottom="0" header="0.51181102362204722" footer="0.51181102362204722"/>
  <pageSetup paperSize="9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opLeftCell="A22" workbookViewId="0">
      <selection activeCell="L21" sqref="L21"/>
    </sheetView>
  </sheetViews>
  <sheetFormatPr defaultRowHeight="12.75"/>
  <cols>
    <col min="1" max="1" width="56" customWidth="1"/>
    <col min="2" max="2" width="11.28515625" customWidth="1"/>
    <col min="3" max="3" width="11.7109375" customWidth="1"/>
    <col min="4" max="4" width="10.7109375" customWidth="1"/>
    <col min="5" max="5" width="6.85546875" customWidth="1"/>
    <col min="6" max="6" width="39.5703125" customWidth="1"/>
    <col min="7" max="7" width="9.7109375" bestFit="1" customWidth="1"/>
    <col min="8" max="8" width="11" bestFit="1" customWidth="1"/>
    <col min="9" max="9" width="11" customWidth="1"/>
    <col min="10" max="10" width="11.42578125" customWidth="1"/>
    <col min="11" max="11" width="13.42578125" customWidth="1"/>
  </cols>
  <sheetData>
    <row r="1" spans="1:9" ht="30.75" customHeight="1">
      <c r="A1" s="304" t="s">
        <v>99</v>
      </c>
      <c r="B1" s="304"/>
      <c r="C1" s="304"/>
      <c r="D1" s="304"/>
      <c r="E1" s="304"/>
      <c r="F1" s="20"/>
      <c r="G1" s="20"/>
      <c r="H1" s="20"/>
    </row>
    <row r="2" spans="1:9" ht="17.25" customHeight="1">
      <c r="A2" s="286" t="s">
        <v>100</v>
      </c>
      <c r="B2" s="286"/>
      <c r="C2" s="286"/>
      <c r="D2" s="286"/>
      <c r="E2" s="286"/>
      <c r="F2" s="20"/>
      <c r="G2" s="20"/>
      <c r="H2" s="20"/>
    </row>
    <row r="3" spans="1:9" ht="15.75" customHeight="1">
      <c r="A3" s="303" t="s">
        <v>158</v>
      </c>
      <c r="B3" s="303"/>
      <c r="C3" s="303"/>
      <c r="D3" s="303"/>
      <c r="E3" s="303"/>
      <c r="F3" s="20"/>
      <c r="G3" s="20"/>
      <c r="H3" s="20"/>
    </row>
    <row r="4" spans="1:9" ht="12.75" customHeight="1">
      <c r="A4" s="19"/>
      <c r="B4" s="19"/>
      <c r="C4" s="19"/>
      <c r="D4" s="19"/>
      <c r="E4" s="19"/>
      <c r="F4" s="20"/>
      <c r="G4" s="20"/>
      <c r="H4" s="20"/>
    </row>
    <row r="5" spans="1:9" ht="15.75">
      <c r="C5" s="19"/>
      <c r="D5" s="19"/>
    </row>
    <row r="6" spans="1:9" ht="32.25" customHeight="1">
      <c r="A6" s="307" t="s">
        <v>3</v>
      </c>
      <c r="B6" s="288" t="s">
        <v>161</v>
      </c>
      <c r="C6" s="288" t="s">
        <v>159</v>
      </c>
      <c r="D6" s="312" t="s">
        <v>126</v>
      </c>
      <c r="E6" s="307"/>
      <c r="G6">
        <v>9</v>
      </c>
      <c r="H6">
        <v>6</v>
      </c>
      <c r="I6" t="s">
        <v>95</v>
      </c>
    </row>
    <row r="7" spans="1:9" ht="16.5" customHeight="1" thickBot="1">
      <c r="A7" s="308"/>
      <c r="B7" s="311"/>
      <c r="C7" s="289"/>
      <c r="D7" s="16" t="s">
        <v>127</v>
      </c>
      <c r="E7" s="16" t="s">
        <v>10</v>
      </c>
    </row>
    <row r="8" spans="1:9" ht="16.5" thickBot="1">
      <c r="A8" s="28" t="s">
        <v>110</v>
      </c>
      <c r="B8" s="210">
        <f>B9+B10+B11+B12+B13</f>
        <v>27651.354064000003</v>
      </c>
      <c r="C8" s="33">
        <f>C9+C10+C11+C12+C13</f>
        <v>28228.964879999996</v>
      </c>
      <c r="D8" s="71">
        <f>C8-B8</f>
        <v>577.61081599999306</v>
      </c>
      <c r="E8" s="72">
        <f t="shared" ref="E8:E23" si="0">C8/B8%</f>
        <v>102.08890607911313</v>
      </c>
    </row>
    <row r="9" spans="1:9" ht="15.75">
      <c r="A9" s="22" t="s">
        <v>97</v>
      </c>
      <c r="B9" s="112">
        <v>13287.668580000003</v>
      </c>
      <c r="C9" s="112">
        <v>14602.994279999999</v>
      </c>
      <c r="D9" s="112">
        <f>C9-B9</f>
        <v>1315.3256999999958</v>
      </c>
      <c r="E9" s="21">
        <f t="shared" si="0"/>
        <v>109.89884487320647</v>
      </c>
    </row>
    <row r="10" spans="1:9" ht="15.75">
      <c r="A10" s="23" t="s">
        <v>98</v>
      </c>
      <c r="B10" s="113">
        <v>10159.206544000001</v>
      </c>
      <c r="C10" s="113">
        <v>11989.60903</v>
      </c>
      <c r="D10" s="112">
        <f>C10-B10</f>
        <v>1830.402485999999</v>
      </c>
      <c r="E10" s="21">
        <f t="shared" si="0"/>
        <v>118.0171795707907</v>
      </c>
    </row>
    <row r="11" spans="1:9" ht="15.75">
      <c r="A11" s="64" t="s">
        <v>121</v>
      </c>
      <c r="B11" s="113">
        <v>465.65699999999998</v>
      </c>
      <c r="C11" s="201">
        <v>563.08399999999995</v>
      </c>
      <c r="D11" s="112">
        <f t="shared" ref="D11:D27" si="1">C11-B11</f>
        <v>97.426999999999964</v>
      </c>
      <c r="E11" s="21">
        <f t="shared" si="0"/>
        <v>120.9224815690519</v>
      </c>
      <c r="G11">
        <f>'[2]8-НКРЕКП-вода '!$P$79</f>
        <v>764.89</v>
      </c>
      <c r="H11">
        <f>'[1]8-НКРЕКП-вода '!$P$79</f>
        <v>364.149</v>
      </c>
      <c r="I11">
        <f>G11-H11</f>
        <v>400.74099999999999</v>
      </c>
    </row>
    <row r="12" spans="1:9" ht="15.75">
      <c r="A12" s="26" t="s">
        <v>122</v>
      </c>
      <c r="B12" s="114">
        <v>2857.4029999999998</v>
      </c>
      <c r="C12" s="202">
        <v>814.41</v>
      </c>
      <c r="D12" s="112">
        <f t="shared" si="1"/>
        <v>-2042.9929999999999</v>
      </c>
      <c r="E12" s="21">
        <f t="shared" si="0"/>
        <v>28.501754915214971</v>
      </c>
      <c r="G12">
        <f>'[2]8-НКРЕКП-вода '!$Q$81</f>
        <v>3599.627</v>
      </c>
      <c r="H12">
        <f>'[1]8-НКРЕКП-вода '!$Q$81</f>
        <v>1498.3616900000002</v>
      </c>
      <c r="I12">
        <f>G12-H12</f>
        <v>2101.2653099999998</v>
      </c>
    </row>
    <row r="13" spans="1:9" ht="15.75">
      <c r="A13" s="26" t="s">
        <v>124</v>
      </c>
      <c r="B13" s="114">
        <v>881.41894000000002</v>
      </c>
      <c r="C13" s="202">
        <v>258.86757</v>
      </c>
      <c r="D13" s="112">
        <f t="shared" si="1"/>
        <v>-622.55137000000002</v>
      </c>
      <c r="E13" s="21">
        <f t="shared" si="0"/>
        <v>29.36941314195041</v>
      </c>
      <c r="G13">
        <f>'[2]8-НКРЕКП-вода '!$Q$83</f>
        <v>767.42700000000002</v>
      </c>
      <c r="H13">
        <f>'[1]8-НКРЕКП-вода '!$Q$83</f>
        <v>508.69463999999999</v>
      </c>
      <c r="I13">
        <f>G13-H13</f>
        <v>258.73236000000003</v>
      </c>
    </row>
    <row r="14" spans="1:9" ht="15.75" customHeight="1">
      <c r="A14" s="73" t="s">
        <v>103</v>
      </c>
      <c r="B14" s="115">
        <v>1145.42362</v>
      </c>
      <c r="C14" s="115">
        <v>1128.5836800000002</v>
      </c>
      <c r="D14" s="116">
        <f t="shared" si="1"/>
        <v>-16.839939999999842</v>
      </c>
      <c r="E14" s="74">
        <f t="shared" si="0"/>
        <v>98.529806815054172</v>
      </c>
    </row>
    <row r="15" spans="1:9" ht="16.5" customHeight="1" thickBot="1">
      <c r="A15" s="75" t="s">
        <v>101</v>
      </c>
      <c r="B15" s="117">
        <v>809.22793000000001</v>
      </c>
      <c r="C15" s="117">
        <v>740.65365000000008</v>
      </c>
      <c r="D15" s="118">
        <f t="shared" si="1"/>
        <v>-68.574279999999931</v>
      </c>
      <c r="E15" s="76">
        <f t="shared" si="0"/>
        <v>91.525962283580611</v>
      </c>
    </row>
    <row r="16" spans="1:9" ht="16.5" thickBot="1">
      <c r="A16" s="24" t="s">
        <v>111</v>
      </c>
      <c r="B16" s="211">
        <v>22559.543000000001</v>
      </c>
      <c r="C16" s="203">
        <v>25417.863939999999</v>
      </c>
      <c r="D16" s="119">
        <f t="shared" si="1"/>
        <v>2858.3209399999978</v>
      </c>
      <c r="E16" s="29">
        <f t="shared" si="0"/>
        <v>112.67011898246342</v>
      </c>
    </row>
    <row r="17" spans="1:9" ht="15.75">
      <c r="A17" s="22" t="s">
        <v>104</v>
      </c>
      <c r="B17" s="120">
        <v>5338.1935739199998</v>
      </c>
      <c r="C17" s="120">
        <f>4600.5+1740.6</f>
        <v>6341.1</v>
      </c>
      <c r="D17" s="112">
        <f t="shared" si="1"/>
        <v>1002.9064260800005</v>
      </c>
      <c r="E17" s="21">
        <f t="shared" si="0"/>
        <v>118.78737464635506</v>
      </c>
      <c r="G17">
        <f>'[2]8-НКРЕКП-вода '!$Q$61</f>
        <v>18940.231</v>
      </c>
      <c r="H17">
        <f>'[1]8-НКРЕКП-вода '!$Q$61</f>
        <v>12287.884999999998</v>
      </c>
      <c r="I17">
        <f>G17-H17</f>
        <v>6652.3460000000014</v>
      </c>
    </row>
    <row r="18" spans="1:9" ht="15.75">
      <c r="A18" s="25" t="s">
        <v>120</v>
      </c>
      <c r="B18" s="121">
        <v>2614.98</v>
      </c>
      <c r="C18" s="121">
        <v>2636.09300003</v>
      </c>
      <c r="D18" s="112">
        <f t="shared" si="1"/>
        <v>21.113000029999967</v>
      </c>
      <c r="E18" s="21">
        <f t="shared" si="0"/>
        <v>100.80738667332064</v>
      </c>
      <c r="G18">
        <f>'[2]8-НКРЕКП-вода '!$Q$122</f>
        <v>8735.9490000000005</v>
      </c>
      <c r="H18">
        <f>'[1]8-НКРЕКП-вода '!$Q$122</f>
        <v>5756.674</v>
      </c>
      <c r="I18">
        <f>G18-H18</f>
        <v>2979.2750000000005</v>
      </c>
    </row>
    <row r="19" spans="1:9" ht="15.75">
      <c r="A19" s="23" t="s">
        <v>105</v>
      </c>
      <c r="B19" s="198">
        <v>9037.9</v>
      </c>
      <c r="C19" s="201">
        <f>зпл.!F16</f>
        <v>10577</v>
      </c>
      <c r="D19" s="112">
        <f t="shared" si="1"/>
        <v>1539.1000000000004</v>
      </c>
      <c r="E19" s="21">
        <f t="shared" si="0"/>
        <v>117.02939842219986</v>
      </c>
    </row>
    <row r="20" spans="1:9" ht="15.75">
      <c r="A20" s="26" t="s">
        <v>106</v>
      </c>
      <c r="B20" s="199">
        <v>393</v>
      </c>
      <c r="C20" s="216">
        <f>зпл.!F11</f>
        <v>378</v>
      </c>
      <c r="D20" s="122">
        <f t="shared" si="1"/>
        <v>-15</v>
      </c>
      <c r="E20" s="21">
        <f t="shared" si="0"/>
        <v>96.18320610687023</v>
      </c>
    </row>
    <row r="21" spans="1:9" ht="15.75" customHeight="1">
      <c r="A21" s="26" t="s">
        <v>123</v>
      </c>
      <c r="B21" s="123">
        <v>7671</v>
      </c>
      <c r="C21" s="123">
        <v>9314</v>
      </c>
      <c r="D21" s="112">
        <f t="shared" si="1"/>
        <v>1643</v>
      </c>
      <c r="E21" s="21">
        <f t="shared" si="0"/>
        <v>121.41832877069483</v>
      </c>
    </row>
    <row r="22" spans="1:9" ht="15.75">
      <c r="A22" s="26" t="s">
        <v>112</v>
      </c>
      <c r="B22" s="212">
        <v>56131</v>
      </c>
      <c r="C22" s="217">
        <f>147611.07/3</f>
        <v>49203.69</v>
      </c>
      <c r="D22" s="112">
        <f t="shared" si="1"/>
        <v>-6927.3099999999977</v>
      </c>
      <c r="E22" s="21">
        <f t="shared" si="0"/>
        <v>87.658673460298246</v>
      </c>
    </row>
    <row r="23" spans="1:9" ht="16.5" thickBot="1">
      <c r="A23" s="27" t="s">
        <v>107</v>
      </c>
      <c r="B23" s="44">
        <v>1294.241</v>
      </c>
      <c r="C23" s="44">
        <v>1660.87889</v>
      </c>
      <c r="D23" s="125">
        <f t="shared" si="1"/>
        <v>366.63788999999997</v>
      </c>
      <c r="E23" s="30">
        <f t="shared" si="0"/>
        <v>128.32840946933376</v>
      </c>
      <c r="I23" s="31"/>
    </row>
    <row r="24" spans="1:9" ht="16.5" thickBot="1">
      <c r="A24" s="77" t="s">
        <v>109</v>
      </c>
      <c r="B24" s="213">
        <f>B8-B16</f>
        <v>5091.8110640000014</v>
      </c>
      <c r="C24" s="78">
        <f>C8-C16</f>
        <v>2811.1009399999966</v>
      </c>
      <c r="D24" s="124">
        <f t="shared" si="1"/>
        <v>-2280.7101240000047</v>
      </c>
      <c r="E24" s="79">
        <f>C24/B24%</f>
        <v>55.208272747490064</v>
      </c>
    </row>
    <row r="25" spans="1:9" ht="13.5" customHeight="1" thickBot="1">
      <c r="A25" s="77" t="s">
        <v>136</v>
      </c>
      <c r="B25" s="214">
        <v>391.73599999999999</v>
      </c>
      <c r="C25" s="80">
        <v>3680</v>
      </c>
      <c r="D25" s="124">
        <f t="shared" si="1"/>
        <v>3288.2640000000001</v>
      </c>
      <c r="E25" s="79">
        <f>C25/B25%</f>
        <v>939.40817285110381</v>
      </c>
    </row>
    <row r="26" spans="1:9" ht="23.25" customHeight="1">
      <c r="A26" s="22" t="s">
        <v>125</v>
      </c>
      <c r="B26" s="200">
        <v>5439.9</v>
      </c>
      <c r="C26" s="218">
        <v>8034.8</v>
      </c>
      <c r="D26" s="112">
        <f t="shared" si="1"/>
        <v>2594.9000000000005</v>
      </c>
      <c r="E26" s="21">
        <f>C26/B26%</f>
        <v>147.70124450817113</v>
      </c>
      <c r="F26" t="s">
        <v>169</v>
      </c>
      <c r="G26">
        <v>19541</v>
      </c>
      <c r="H26" t="s">
        <v>154</v>
      </c>
    </row>
    <row r="27" spans="1:9" ht="15.75">
      <c r="A27" s="23" t="s">
        <v>102</v>
      </c>
      <c r="B27" s="89">
        <v>0.4</v>
      </c>
      <c r="C27" s="167">
        <v>2.9</v>
      </c>
      <c r="D27" s="112">
        <f t="shared" si="1"/>
        <v>2.5</v>
      </c>
      <c r="E27" s="21">
        <v>0</v>
      </c>
      <c r="G27">
        <v>11639</v>
      </c>
      <c r="H27" t="s">
        <v>155</v>
      </c>
    </row>
    <row r="28" spans="1:9" ht="15.75">
      <c r="A28" s="205"/>
      <c r="B28" s="206"/>
      <c r="C28" s="207"/>
      <c r="D28" s="208"/>
      <c r="E28" s="209"/>
    </row>
    <row r="29" spans="1:9" ht="14.25" customHeight="1">
      <c r="A29" s="316" t="s">
        <v>170</v>
      </c>
      <c r="B29" s="316"/>
      <c r="C29" s="316"/>
      <c r="D29" s="208"/>
      <c r="E29" s="209"/>
    </row>
    <row r="30" spans="1:9" ht="12.75" customHeight="1">
      <c r="A30" s="274" t="s">
        <v>171</v>
      </c>
      <c r="B30" s="275"/>
      <c r="C30" s="276"/>
      <c r="D30" s="208"/>
      <c r="E30" s="209"/>
    </row>
    <row r="31" spans="1:9">
      <c r="A31" s="315"/>
      <c r="B31" s="315"/>
      <c r="C31" s="315"/>
      <c r="D31" s="18"/>
      <c r="E31" s="18"/>
      <c r="G31">
        <f>G26-G27</f>
        <v>7902</v>
      </c>
    </row>
    <row r="32" spans="1:9" ht="12" customHeight="1">
      <c r="A32" s="306" t="s">
        <v>160</v>
      </c>
      <c r="B32" s="306"/>
      <c r="C32" s="306"/>
      <c r="D32" s="17"/>
    </row>
    <row r="33" spans="1:11" ht="12" customHeight="1">
      <c r="A33" s="23" t="s">
        <v>105</v>
      </c>
      <c r="B33" s="309">
        <f>K51/1000</f>
        <v>44860.7</v>
      </c>
      <c r="C33" s="309"/>
      <c r="D33" s="309"/>
      <c r="E33" s="309"/>
    </row>
    <row r="34" spans="1:11" ht="12" customHeight="1">
      <c r="A34" s="26" t="s">
        <v>106</v>
      </c>
      <c r="B34" s="309">
        <f>зпл.!F11</f>
        <v>378</v>
      </c>
      <c r="C34" s="309"/>
      <c r="D34" s="309"/>
      <c r="E34" s="309"/>
    </row>
    <row r="35" spans="1:11" ht="12" customHeight="1">
      <c r="A35" s="26" t="s">
        <v>123</v>
      </c>
      <c r="B35" s="310">
        <f>K49</f>
        <v>9752.4854343033512</v>
      </c>
      <c r="C35" s="310"/>
      <c r="D35" s="310"/>
      <c r="E35" s="310"/>
    </row>
    <row r="36" spans="1:11" ht="12" customHeight="1">
      <c r="A36" s="26" t="s">
        <v>112</v>
      </c>
      <c r="B36" s="310">
        <f>K48</f>
        <v>51952.172500000008</v>
      </c>
      <c r="C36" s="310"/>
      <c r="D36" s="310"/>
      <c r="E36" s="310"/>
    </row>
    <row r="37" spans="1:11" ht="12" customHeight="1">
      <c r="A37" s="196"/>
      <c r="B37" s="197"/>
      <c r="C37" s="197"/>
      <c r="D37" s="197"/>
      <c r="E37" s="197"/>
    </row>
    <row r="38" spans="1:11" ht="12" customHeight="1">
      <c r="A38" s="196"/>
      <c r="B38" s="197"/>
      <c r="C38" s="197"/>
      <c r="D38" s="197"/>
      <c r="E38" s="197"/>
    </row>
    <row r="39" spans="1:11" ht="12" customHeight="1">
      <c r="A39" s="313"/>
      <c r="B39" s="313"/>
      <c r="C39" s="313"/>
      <c r="D39" s="313"/>
    </row>
    <row r="40" spans="1:11" ht="19.5" customHeight="1">
      <c r="A40" s="314" t="s">
        <v>151</v>
      </c>
      <c r="B40" s="314"/>
      <c r="C40" s="314"/>
      <c r="D40" s="314"/>
      <c r="E40" s="314"/>
    </row>
    <row r="41" spans="1:11" ht="12" customHeight="1">
      <c r="A41" s="17"/>
      <c r="B41" s="96"/>
      <c r="C41" s="17"/>
      <c r="D41" s="17"/>
    </row>
    <row r="42" spans="1:11" ht="12" customHeight="1">
      <c r="A42" s="96"/>
      <c r="B42" s="96"/>
      <c r="C42" s="17"/>
      <c r="D42" s="17"/>
    </row>
    <row r="43" spans="1:11">
      <c r="C43" s="305"/>
      <c r="D43" s="305"/>
      <c r="E43" s="305"/>
    </row>
    <row r="44" spans="1:11" ht="18.75">
      <c r="F44" s="302" t="s">
        <v>140</v>
      </c>
      <c r="G44" s="302"/>
      <c r="H44" s="302"/>
      <c r="I44" s="302"/>
      <c r="J44" s="302"/>
      <c r="K44" s="302"/>
    </row>
    <row r="45" spans="1:11" ht="18.75">
      <c r="A45" s="32"/>
      <c r="B45" s="32"/>
      <c r="C45" s="32"/>
      <c r="D45" s="32"/>
      <c r="E45" s="32"/>
      <c r="F45" s="302" t="s">
        <v>119</v>
      </c>
      <c r="G45" s="302"/>
      <c r="H45" s="302"/>
      <c r="I45" s="302"/>
      <c r="J45" s="302"/>
      <c r="K45" s="302"/>
    </row>
    <row r="46" spans="1:11" ht="18.75">
      <c r="A46" s="32"/>
      <c r="B46" s="32"/>
      <c r="C46" s="32"/>
      <c r="D46" s="32"/>
      <c r="E46" s="32"/>
      <c r="F46" s="170"/>
      <c r="G46" s="170" t="s">
        <v>93</v>
      </c>
      <c r="H46" s="170" t="s">
        <v>94</v>
      </c>
      <c r="I46" s="170" t="s">
        <v>95</v>
      </c>
      <c r="J46" s="170" t="s">
        <v>96</v>
      </c>
      <c r="K46" s="187" t="s">
        <v>148</v>
      </c>
    </row>
    <row r="47" spans="1:11" ht="18.75">
      <c r="A47" t="s">
        <v>137</v>
      </c>
      <c r="F47" s="61" t="s">
        <v>118</v>
      </c>
      <c r="G47" s="81">
        <f>G51/380/3</f>
        <v>8857.7192982456145</v>
      </c>
      <c r="H47" s="81">
        <f>H51/379/3</f>
        <v>9722.8671943711524</v>
      </c>
      <c r="I47" s="81">
        <f>I51/378/3</f>
        <v>11579.36507936508</v>
      </c>
      <c r="J47" s="81">
        <f>J51/378/3</f>
        <v>9327.1604938271612</v>
      </c>
      <c r="K47" s="192">
        <f>(G47+H47+I47+J47)/378/12*1000</f>
        <v>8705.2716194464301</v>
      </c>
    </row>
    <row r="48" spans="1:11" ht="18.75">
      <c r="F48" s="61" t="s">
        <v>116</v>
      </c>
      <c r="G48" s="82">
        <f>133964/3</f>
        <v>44654.666666666664</v>
      </c>
      <c r="H48" s="188">
        <f>H52/3</f>
        <v>47825</v>
      </c>
      <c r="I48" s="60">
        <f>198376.39/3</f>
        <v>66125.463333333333</v>
      </c>
      <c r="J48" s="60">
        <f>147611.07/3</f>
        <v>49203.69</v>
      </c>
      <c r="K48" s="193">
        <f>K52/12</f>
        <v>51952.172500000008</v>
      </c>
    </row>
    <row r="49" spans="6:17" ht="18.75">
      <c r="F49" s="62" t="s">
        <v>117</v>
      </c>
      <c r="G49" s="83">
        <f>G53/379/3</f>
        <v>8763.2682497801234</v>
      </c>
      <c r="H49" s="191">
        <f>H53/378/3</f>
        <v>9622.0679012345681</v>
      </c>
      <c r="I49" s="191">
        <f>I53/378/3</f>
        <v>11404.430335097002</v>
      </c>
      <c r="J49" s="191">
        <f>J53/378/3</f>
        <v>9196.9920017636687</v>
      </c>
      <c r="K49" s="192">
        <f>K53/378/12</f>
        <v>9752.4854343033512</v>
      </c>
      <c r="M49" s="31"/>
      <c r="Q49" s="31"/>
    </row>
    <row r="50" spans="6:17" ht="16.5" customHeight="1">
      <c r="F50" s="189" t="s">
        <v>153</v>
      </c>
      <c r="G50" s="190">
        <v>380</v>
      </c>
      <c r="H50" s="190">
        <v>379</v>
      </c>
      <c r="I50" s="189">
        <v>378</v>
      </c>
      <c r="J50" s="189">
        <v>378</v>
      </c>
      <c r="K50" s="194">
        <v>378</v>
      </c>
    </row>
    <row r="51" spans="6:17">
      <c r="F51" s="2"/>
      <c r="G51" s="2">
        <v>10097800</v>
      </c>
      <c r="H51" s="2">
        <v>11054900</v>
      </c>
      <c r="I51" s="204">
        <v>13131000</v>
      </c>
      <c r="J51" s="2">
        <f>зпл.!F16*1000</f>
        <v>10577000</v>
      </c>
      <c r="K51" s="195">
        <f>SUM(G51:J51)</f>
        <v>44860700</v>
      </c>
    </row>
    <row r="52" spans="6:17">
      <c r="F52" s="2"/>
      <c r="G52" s="2">
        <v>133964</v>
      </c>
      <c r="H52" s="2">
        <v>143475</v>
      </c>
      <c r="I52" s="2">
        <v>198376</v>
      </c>
      <c r="J52" s="2">
        <v>147611.07</v>
      </c>
      <c r="K52" s="195">
        <f>SUM(G52:J52)</f>
        <v>623426.07000000007</v>
      </c>
    </row>
    <row r="53" spans="6:17" ht="15" customHeight="1">
      <c r="F53" s="142"/>
      <c r="G53" s="186">
        <f>G51-G52</f>
        <v>9963836</v>
      </c>
      <c r="H53" s="186">
        <f>H51-H52</f>
        <v>10911425</v>
      </c>
      <c r="I53" s="186">
        <f>I51-I52</f>
        <v>12932624</v>
      </c>
      <c r="J53" s="186">
        <f>J51-J52</f>
        <v>10429388.93</v>
      </c>
      <c r="K53" s="195">
        <f>SUM(G53:J53)</f>
        <v>44237273.93</v>
      </c>
    </row>
  </sheetData>
  <mergeCells count="19">
    <mergeCell ref="B6:B7"/>
    <mergeCell ref="C6:C7"/>
    <mergeCell ref="D6:E6"/>
    <mergeCell ref="A39:D39"/>
    <mergeCell ref="A40:E40"/>
    <mergeCell ref="F44:K44"/>
    <mergeCell ref="B36:E36"/>
    <mergeCell ref="A31:C31"/>
    <mergeCell ref="A29:C29"/>
    <mergeCell ref="F45:K45"/>
    <mergeCell ref="A3:E3"/>
    <mergeCell ref="A1:E1"/>
    <mergeCell ref="A2:E2"/>
    <mergeCell ref="C43:E43"/>
    <mergeCell ref="A32:C32"/>
    <mergeCell ref="A6:A7"/>
    <mergeCell ref="B33:E33"/>
    <mergeCell ref="B34:E34"/>
    <mergeCell ref="B35:E35"/>
  </mergeCells>
  <phoneticPr fontId="5" type="noConversion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S55"/>
  <sheetViews>
    <sheetView showZeros="0" topLeftCell="A19" workbookViewId="0">
      <selection activeCell="G63" sqref="A1:G63"/>
    </sheetView>
  </sheetViews>
  <sheetFormatPr defaultRowHeight="12.75"/>
  <cols>
    <col min="1" max="1" width="5" style="87" customWidth="1"/>
    <col min="2" max="2" width="72.85546875" style="87" customWidth="1"/>
    <col min="3" max="3" width="9.42578125" style="87" customWidth="1"/>
    <col min="4" max="4" width="10.85546875" style="185" customWidth="1"/>
    <col min="5" max="6" width="10.42578125" style="87" customWidth="1"/>
    <col min="7" max="7" width="11.42578125" style="87" customWidth="1"/>
    <col min="8" max="8" width="9.140625" style="87"/>
    <col min="9" max="12" width="9.7109375" style="87" hidden="1" customWidth="1"/>
    <col min="13" max="13" width="8.28515625" style="87" hidden="1" customWidth="1"/>
    <col min="14" max="14" width="9.28515625" style="87" hidden="1" customWidth="1"/>
    <col min="15" max="15" width="9.7109375" style="87" hidden="1" customWidth="1"/>
    <col min="16" max="16" width="9.7109375" style="172" hidden="1" customWidth="1"/>
    <col min="17" max="18" width="9.7109375" style="87" hidden="1" customWidth="1"/>
    <col min="19" max="19" width="8.5703125" style="87" hidden="1" customWidth="1"/>
    <col min="20" max="16384" width="9.140625" style="87"/>
  </cols>
  <sheetData>
    <row r="2" spans="1:19" ht="15.75">
      <c r="A2" s="84"/>
      <c r="B2" s="85"/>
      <c r="C2" s="84"/>
      <c r="D2" s="171"/>
      <c r="E2" s="84"/>
      <c r="F2" s="84"/>
      <c r="G2" s="86" t="s">
        <v>36</v>
      </c>
    </row>
    <row r="3" spans="1:19" ht="15.75">
      <c r="A3" s="84"/>
      <c r="B3" s="85"/>
      <c r="C3" s="84"/>
      <c r="D3" s="171"/>
      <c r="E3" s="84"/>
      <c r="F3" s="84"/>
      <c r="G3" s="86"/>
    </row>
    <row r="4" spans="1:19" ht="15.75">
      <c r="A4" s="84"/>
      <c r="B4" s="85"/>
      <c r="C4" s="84"/>
      <c r="D4" s="171"/>
      <c r="E4" s="84"/>
      <c r="F4" s="84"/>
      <c r="G4" s="86"/>
    </row>
    <row r="5" spans="1:19" ht="15.75">
      <c r="A5" s="84"/>
      <c r="B5" s="85"/>
      <c r="C5" s="84"/>
      <c r="D5" s="171"/>
      <c r="E5" s="84"/>
      <c r="F5" s="84"/>
      <c r="G5" s="86"/>
    </row>
    <row r="6" spans="1:19" ht="15.75" customHeight="1">
      <c r="A6" s="317" t="s">
        <v>37</v>
      </c>
      <c r="B6" s="317"/>
      <c r="C6" s="317"/>
      <c r="D6" s="317"/>
      <c r="E6" s="317"/>
      <c r="F6" s="317"/>
      <c r="G6" s="317"/>
    </row>
    <row r="7" spans="1:19" ht="15.75" customHeight="1">
      <c r="A7" s="317" t="s">
        <v>38</v>
      </c>
      <c r="B7" s="317"/>
      <c r="C7" s="317"/>
      <c r="D7" s="317"/>
      <c r="E7" s="317"/>
      <c r="F7" s="317"/>
      <c r="G7" s="317"/>
    </row>
    <row r="8" spans="1:19" ht="15.75" customHeight="1">
      <c r="A8" s="13"/>
      <c r="B8" s="13"/>
      <c r="C8" s="13"/>
      <c r="D8" s="13"/>
      <c r="E8" s="13"/>
      <c r="F8" s="13"/>
      <c r="G8" s="13"/>
    </row>
    <row r="9" spans="1:19" ht="15" customHeight="1" thickBot="1">
      <c r="A9" s="13"/>
      <c r="B9" s="13"/>
      <c r="C9" s="13"/>
      <c r="D9" s="173"/>
      <c r="E9" s="13"/>
      <c r="F9" s="13"/>
      <c r="G9" s="13"/>
      <c r="I9" s="318">
        <v>2019</v>
      </c>
      <c r="J9" s="318"/>
      <c r="K9" s="318"/>
      <c r="L9" s="318"/>
      <c r="M9" s="318"/>
      <c r="O9" s="318" t="s">
        <v>150</v>
      </c>
      <c r="P9" s="318"/>
      <c r="Q9" s="318"/>
      <c r="R9" s="318"/>
      <c r="S9" s="318"/>
    </row>
    <row r="10" spans="1:19" ht="42.75" customHeight="1" thickBot="1">
      <c r="A10" s="239" t="s">
        <v>39</v>
      </c>
      <c r="B10" s="238" t="s">
        <v>3</v>
      </c>
      <c r="C10" s="235" t="s">
        <v>40</v>
      </c>
      <c r="D10" s="236" t="s">
        <v>162</v>
      </c>
      <c r="E10" s="236" t="s">
        <v>163</v>
      </c>
      <c r="F10" s="236" t="s">
        <v>164</v>
      </c>
      <c r="G10" s="237" t="s">
        <v>131</v>
      </c>
      <c r="I10" s="174">
        <v>1</v>
      </c>
      <c r="J10" s="174">
        <v>2</v>
      </c>
      <c r="K10" s="174">
        <v>3</v>
      </c>
      <c r="L10" s="174">
        <v>4</v>
      </c>
      <c r="M10" s="174" t="s">
        <v>138</v>
      </c>
      <c r="O10" s="174">
        <v>1</v>
      </c>
      <c r="P10" s="175">
        <v>2</v>
      </c>
      <c r="Q10" s="174">
        <v>3</v>
      </c>
      <c r="R10" s="174">
        <v>4</v>
      </c>
      <c r="S10" s="174" t="s">
        <v>138</v>
      </c>
    </row>
    <row r="11" spans="1:19" ht="31.5">
      <c r="A11" s="240" t="s">
        <v>41</v>
      </c>
      <c r="B11" s="245" t="s">
        <v>42</v>
      </c>
      <c r="C11" s="270" t="s">
        <v>43</v>
      </c>
      <c r="D11" s="255">
        <v>393</v>
      </c>
      <c r="E11" s="233">
        <v>389</v>
      </c>
      <c r="F11" s="232">
        <v>378</v>
      </c>
      <c r="G11" s="234">
        <f>F11-E11</f>
        <v>-11</v>
      </c>
      <c r="I11" s="88">
        <v>401</v>
      </c>
      <c r="J11" s="88">
        <v>401</v>
      </c>
      <c r="K11" s="88">
        <v>399</v>
      </c>
      <c r="L11" s="88">
        <v>393</v>
      </c>
      <c r="M11" s="14"/>
      <c r="O11" s="14">
        <v>389</v>
      </c>
      <c r="P11" s="14">
        <v>389</v>
      </c>
      <c r="Q11" s="14">
        <v>389</v>
      </c>
      <c r="R11" s="14">
        <v>389</v>
      </c>
      <c r="S11" s="14"/>
    </row>
    <row r="12" spans="1:19" ht="14.25" customHeight="1">
      <c r="A12" s="240"/>
      <c r="B12" s="246" t="s">
        <v>44</v>
      </c>
      <c r="C12" s="271"/>
      <c r="D12" s="256"/>
      <c r="E12" s="144"/>
      <c r="F12" s="89"/>
      <c r="G12" s="226"/>
      <c r="I12" s="89"/>
      <c r="J12" s="89"/>
      <c r="K12" s="89"/>
      <c r="L12" s="89"/>
      <c r="M12" s="174"/>
      <c r="O12" s="67"/>
      <c r="P12" s="89"/>
      <c r="Q12" s="144"/>
      <c r="R12" s="144"/>
      <c r="S12" s="174"/>
    </row>
    <row r="13" spans="1:19" ht="15.75">
      <c r="A13" s="240"/>
      <c r="B13" s="247" t="s">
        <v>132</v>
      </c>
      <c r="C13" s="271" t="s">
        <v>43</v>
      </c>
      <c r="D13" s="256">
        <v>18</v>
      </c>
      <c r="E13" s="15">
        <v>18</v>
      </c>
      <c r="F13" s="89">
        <v>18</v>
      </c>
      <c r="G13" s="225">
        <f>F13-E13</f>
        <v>0</v>
      </c>
      <c r="I13" s="89">
        <v>17</v>
      </c>
      <c r="J13" s="89">
        <v>17</v>
      </c>
      <c r="K13" s="89">
        <v>18</v>
      </c>
      <c r="L13" s="89">
        <v>18</v>
      </c>
      <c r="M13" s="174"/>
      <c r="O13" s="15">
        <v>18</v>
      </c>
      <c r="P13" s="15">
        <v>18</v>
      </c>
      <c r="Q13" s="15">
        <v>18</v>
      </c>
      <c r="R13" s="15">
        <v>18</v>
      </c>
      <c r="S13" s="174"/>
    </row>
    <row r="14" spans="1:19" ht="17.25" customHeight="1">
      <c r="A14" s="240"/>
      <c r="B14" s="248" t="s">
        <v>133</v>
      </c>
      <c r="C14" s="271" t="s">
        <v>43</v>
      </c>
      <c r="D14" s="256">
        <v>381</v>
      </c>
      <c r="E14" s="15">
        <v>371</v>
      </c>
      <c r="F14" s="89">
        <v>360</v>
      </c>
      <c r="G14" s="225">
        <f>F14-E14</f>
        <v>-11</v>
      </c>
      <c r="I14" s="89">
        <v>384</v>
      </c>
      <c r="J14" s="89">
        <v>384</v>
      </c>
      <c r="K14" s="89">
        <v>381</v>
      </c>
      <c r="L14" s="89">
        <v>381</v>
      </c>
      <c r="M14" s="174"/>
      <c r="O14" s="15">
        <v>371</v>
      </c>
      <c r="P14" s="15">
        <v>371</v>
      </c>
      <c r="Q14" s="15">
        <v>371</v>
      </c>
      <c r="R14" s="15">
        <v>371</v>
      </c>
      <c r="S14" s="174"/>
    </row>
    <row r="15" spans="1:19" ht="16.5" customHeight="1">
      <c r="A15" s="241"/>
      <c r="B15" s="248" t="s">
        <v>75</v>
      </c>
      <c r="C15" s="271" t="s">
        <v>43</v>
      </c>
      <c r="D15" s="256">
        <v>316</v>
      </c>
      <c r="E15" s="15">
        <v>300</v>
      </c>
      <c r="F15" s="89">
        <v>290</v>
      </c>
      <c r="G15" s="225">
        <f>F15-E15</f>
        <v>-10</v>
      </c>
      <c r="I15" s="89">
        <v>318</v>
      </c>
      <c r="J15" s="89">
        <v>318</v>
      </c>
      <c r="K15" s="89">
        <v>316</v>
      </c>
      <c r="L15" s="89">
        <v>316</v>
      </c>
      <c r="M15" s="174"/>
      <c r="O15" s="15">
        <v>300</v>
      </c>
      <c r="P15" s="15">
        <v>300</v>
      </c>
      <c r="Q15" s="15">
        <v>300</v>
      </c>
      <c r="R15" s="15">
        <v>300</v>
      </c>
      <c r="S15" s="174"/>
    </row>
    <row r="16" spans="1:19" ht="20.25" customHeight="1">
      <c r="A16" s="240" t="s">
        <v>45</v>
      </c>
      <c r="B16" s="246" t="s">
        <v>46</v>
      </c>
      <c r="C16" s="272" t="s">
        <v>47</v>
      </c>
      <c r="D16" s="257">
        <v>9037.9</v>
      </c>
      <c r="E16" s="129">
        <f>11088-E26-E27</f>
        <v>10998</v>
      </c>
      <c r="F16" s="128">
        <v>10577</v>
      </c>
      <c r="G16" s="227">
        <f>F16-E16</f>
        <v>-421</v>
      </c>
      <c r="I16" s="128">
        <v>7881</v>
      </c>
      <c r="J16" s="128">
        <v>8459.4</v>
      </c>
      <c r="K16" s="128">
        <v>8629.7000000000007</v>
      </c>
      <c r="L16" s="128">
        <v>9037.9</v>
      </c>
      <c r="M16" s="176"/>
      <c r="N16" s="90"/>
      <c r="O16" s="129">
        <f>10882-O26-O27</f>
        <v>10742</v>
      </c>
      <c r="P16" s="129">
        <f>11179-P26-P27</f>
        <v>11039</v>
      </c>
      <c r="Q16" s="129">
        <f>11516-Q26-Q27</f>
        <v>11376</v>
      </c>
      <c r="R16" s="129">
        <f>11088-R26-R27</f>
        <v>10948</v>
      </c>
      <c r="S16" s="176"/>
    </row>
    <row r="17" spans="1:19" ht="17.25" customHeight="1">
      <c r="A17" s="240"/>
      <c r="B17" s="246" t="s">
        <v>44</v>
      </c>
      <c r="C17" s="272"/>
      <c r="D17" s="258"/>
      <c r="E17" s="145"/>
      <c r="F17" s="91"/>
      <c r="G17" s="226"/>
      <c r="I17" s="91"/>
      <c r="J17" s="91"/>
      <c r="K17" s="91"/>
      <c r="L17" s="91"/>
      <c r="M17" s="175"/>
      <c r="O17" s="67"/>
      <c r="P17" s="91"/>
      <c r="Q17" s="145"/>
      <c r="R17" s="145"/>
      <c r="S17" s="175"/>
    </row>
    <row r="18" spans="1:19" ht="19.5" customHeight="1">
      <c r="A18" s="240"/>
      <c r="B18" s="249" t="s">
        <v>134</v>
      </c>
      <c r="C18" s="271" t="s">
        <v>47</v>
      </c>
      <c r="D18" s="259">
        <v>821.5</v>
      </c>
      <c r="E18" s="130">
        <v>983</v>
      </c>
      <c r="F18" s="130">
        <v>882.6</v>
      </c>
      <c r="G18" s="227">
        <f>F18-E18</f>
        <v>-100.39999999999998</v>
      </c>
      <c r="I18" s="130">
        <v>612.5</v>
      </c>
      <c r="J18" s="130">
        <v>682.3</v>
      </c>
      <c r="K18" s="130">
        <v>749.5</v>
      </c>
      <c r="L18" s="130">
        <v>821.5</v>
      </c>
      <c r="M18" s="175"/>
      <c r="N18" s="92">
        <v>44.9</v>
      </c>
      <c r="O18" s="131">
        <v>1191.3</v>
      </c>
      <c r="P18" s="130">
        <v>999</v>
      </c>
      <c r="Q18" s="130">
        <v>1030</v>
      </c>
      <c r="R18" s="130">
        <v>983</v>
      </c>
      <c r="S18" s="175"/>
    </row>
    <row r="19" spans="1:19" ht="17.25" customHeight="1">
      <c r="A19" s="240"/>
      <c r="B19" s="250" t="s">
        <v>76</v>
      </c>
      <c r="C19" s="271" t="s">
        <v>47</v>
      </c>
      <c r="D19" s="259">
        <f>D16-D18</f>
        <v>8216.4</v>
      </c>
      <c r="E19" s="130">
        <f>E16-E18</f>
        <v>10015</v>
      </c>
      <c r="F19" s="130">
        <f>F16-F18</f>
        <v>9694.4</v>
      </c>
      <c r="G19" s="227">
        <f>F19-E19</f>
        <v>-320.60000000000036</v>
      </c>
      <c r="I19" s="130">
        <f>I16-I18</f>
        <v>7268.5</v>
      </c>
      <c r="J19" s="130">
        <f>J16-J18</f>
        <v>7777.0999999999995</v>
      </c>
      <c r="K19" s="130">
        <f>K16-K18</f>
        <v>7880.2000000000007</v>
      </c>
      <c r="L19" s="130">
        <f>L16-L18</f>
        <v>8216.4</v>
      </c>
      <c r="M19" s="175"/>
      <c r="N19" s="93"/>
      <c r="O19" s="131">
        <f>O16-O18</f>
        <v>9550.7000000000007</v>
      </c>
      <c r="P19" s="130">
        <f>P16-P18</f>
        <v>10040</v>
      </c>
      <c r="Q19" s="130">
        <f>Q16-Q18</f>
        <v>10346</v>
      </c>
      <c r="R19" s="130">
        <f>R16-R18</f>
        <v>9965</v>
      </c>
      <c r="S19" s="175"/>
    </row>
    <row r="20" spans="1:19" ht="15" customHeight="1">
      <c r="A20" s="241"/>
      <c r="B20" s="250" t="s">
        <v>77</v>
      </c>
      <c r="C20" s="271" t="s">
        <v>47</v>
      </c>
      <c r="D20" s="259">
        <v>6311.3</v>
      </c>
      <c r="E20" s="130">
        <v>8800</v>
      </c>
      <c r="F20" s="130">
        <v>7419.4</v>
      </c>
      <c r="G20" s="227">
        <f>F20-E20</f>
        <v>-1380.6000000000004</v>
      </c>
      <c r="I20" s="130">
        <v>5571.5</v>
      </c>
      <c r="J20" s="130">
        <v>6014.3</v>
      </c>
      <c r="K20" s="130">
        <v>6033.5</v>
      </c>
      <c r="L20" s="130">
        <v>6311.3</v>
      </c>
      <c r="M20" s="175"/>
      <c r="O20" s="131">
        <v>8636.6</v>
      </c>
      <c r="P20" s="130">
        <v>8862.1</v>
      </c>
      <c r="Q20" s="130">
        <v>9138.6</v>
      </c>
      <c r="R20" s="130">
        <v>8800</v>
      </c>
      <c r="S20" s="175"/>
    </row>
    <row r="21" spans="1:19" ht="15.75">
      <c r="A21" s="240" t="s">
        <v>48</v>
      </c>
      <c r="B21" s="246" t="s">
        <v>49</v>
      </c>
      <c r="C21" s="272" t="s">
        <v>14</v>
      </c>
      <c r="D21" s="260">
        <f>D16/D11/3*1000</f>
        <v>7665.7336726039021</v>
      </c>
      <c r="E21" s="132">
        <f>E16/E11/3*1000</f>
        <v>9424.1645244215943</v>
      </c>
      <c r="F21" s="132">
        <f>F16/F11/3*1000</f>
        <v>9327.1604938271594</v>
      </c>
      <c r="G21" s="228">
        <f>F21-E21</f>
        <v>-97.00403059443488</v>
      </c>
      <c r="I21" s="132">
        <f>I16/I11/3*1000</f>
        <v>6551.1221945137158</v>
      </c>
      <c r="J21" s="132">
        <f>J16/J11/3*1000</f>
        <v>7031.9201995012472</v>
      </c>
      <c r="K21" s="132">
        <f>K16/K11/3*1000</f>
        <v>7209.440267335005</v>
      </c>
      <c r="L21" s="132">
        <f>L16/L11/3*1000</f>
        <v>7665.7336726039021</v>
      </c>
      <c r="M21" s="177"/>
      <c r="O21" s="132">
        <f>O16/O11/3*1000</f>
        <v>9204.7986289631535</v>
      </c>
      <c r="P21" s="132">
        <f>P16/P11/3*1000</f>
        <v>9459.2973436161101</v>
      </c>
      <c r="Q21" s="132">
        <f>Q16/Q11/3*1000</f>
        <v>9748.0719794344477</v>
      </c>
      <c r="R21" s="132">
        <f>R16/R11/3*1000</f>
        <v>9381.3196229648674</v>
      </c>
      <c r="S21" s="177"/>
    </row>
    <row r="22" spans="1:19" ht="17.25" customHeight="1">
      <c r="A22" s="240"/>
      <c r="B22" s="246" t="s">
        <v>44</v>
      </c>
      <c r="C22" s="272"/>
      <c r="D22" s="256"/>
      <c r="E22" s="144"/>
      <c r="F22" s="89"/>
      <c r="G22" s="226"/>
      <c r="I22" s="89"/>
      <c r="J22" s="89"/>
      <c r="K22" s="89"/>
      <c r="L22" s="89"/>
      <c r="M22" s="175"/>
      <c r="O22" s="67"/>
      <c r="P22" s="89"/>
      <c r="Q22" s="144"/>
      <c r="R22" s="144"/>
      <c r="S22" s="175"/>
    </row>
    <row r="23" spans="1:19" ht="15.75">
      <c r="A23" s="240"/>
      <c r="B23" s="249" t="s">
        <v>135</v>
      </c>
      <c r="C23" s="271" t="s">
        <v>14</v>
      </c>
      <c r="D23" s="261">
        <f t="shared" ref="D23:F24" si="0">D18/D13*1000/3</f>
        <v>15212.962962962962</v>
      </c>
      <c r="E23" s="133">
        <f t="shared" si="0"/>
        <v>18203.703703703704</v>
      </c>
      <c r="F23" s="133">
        <f t="shared" si="0"/>
        <v>16344.444444444443</v>
      </c>
      <c r="G23" s="228">
        <f t="shared" ref="G23:G28" si="1">F23-E23</f>
        <v>-1859.2592592592609</v>
      </c>
      <c r="I23" s="133">
        <f t="shared" ref="I23:L24" si="2">I18/I13*1000/3</f>
        <v>12009.803921568628</v>
      </c>
      <c r="J23" s="133">
        <f t="shared" si="2"/>
        <v>13378.431372549019</v>
      </c>
      <c r="K23" s="133">
        <f t="shared" si="2"/>
        <v>13879.629629629628</v>
      </c>
      <c r="L23" s="133">
        <f t="shared" si="2"/>
        <v>15212.962962962962</v>
      </c>
      <c r="M23" s="15"/>
      <c r="O23" s="133">
        <f t="shared" ref="O23:R24" si="3">O18/O13*1000/3</f>
        <v>22061.111111111113</v>
      </c>
      <c r="P23" s="133">
        <f t="shared" si="3"/>
        <v>18500</v>
      </c>
      <c r="Q23" s="133">
        <f t="shared" si="3"/>
        <v>19074.074074074073</v>
      </c>
      <c r="R23" s="133">
        <f t="shared" si="3"/>
        <v>18203.703703703704</v>
      </c>
      <c r="S23" s="15"/>
    </row>
    <row r="24" spans="1:19" ht="15.75" customHeight="1">
      <c r="A24" s="240"/>
      <c r="B24" s="250" t="s">
        <v>78</v>
      </c>
      <c r="C24" s="271" t="s">
        <v>14</v>
      </c>
      <c r="D24" s="261">
        <f t="shared" si="0"/>
        <v>7188.4514435695537</v>
      </c>
      <c r="E24" s="133">
        <f t="shared" si="0"/>
        <v>8998.2030548068287</v>
      </c>
      <c r="F24" s="133">
        <f t="shared" si="0"/>
        <v>8976.2962962962956</v>
      </c>
      <c r="G24" s="228">
        <f t="shared" si="1"/>
        <v>-21.906758510533109</v>
      </c>
      <c r="I24" s="133">
        <f t="shared" si="2"/>
        <v>6309.4618055555557</v>
      </c>
      <c r="J24" s="133">
        <f t="shared" si="2"/>
        <v>6750.9548611111104</v>
      </c>
      <c r="K24" s="133">
        <f t="shared" si="2"/>
        <v>6894.3132108486452</v>
      </c>
      <c r="L24" s="133">
        <f t="shared" si="2"/>
        <v>7188.4514435695537</v>
      </c>
      <c r="M24" s="15"/>
      <c r="O24" s="133">
        <f t="shared" si="3"/>
        <v>8581.0422282120398</v>
      </c>
      <c r="P24" s="133">
        <f t="shared" si="3"/>
        <v>9020.6648697214732</v>
      </c>
      <c r="Q24" s="133">
        <f t="shared" si="3"/>
        <v>9295.59748427673</v>
      </c>
      <c r="R24" s="133">
        <f t="shared" si="3"/>
        <v>8953.2794249775379</v>
      </c>
      <c r="S24" s="15"/>
    </row>
    <row r="25" spans="1:19" ht="17.25" customHeight="1">
      <c r="A25" s="241"/>
      <c r="B25" s="250" t="s">
        <v>79</v>
      </c>
      <c r="C25" s="271" t="s">
        <v>14</v>
      </c>
      <c r="D25" s="261">
        <f>D20/D15/3*1000</f>
        <v>6657.489451476793</v>
      </c>
      <c r="E25" s="133">
        <f>E20/E15/3*1000</f>
        <v>9777.7777777777774</v>
      </c>
      <c r="F25" s="133">
        <f>F20/F15/3*1000</f>
        <v>8528.0459770114921</v>
      </c>
      <c r="G25" s="228">
        <f t="shared" si="1"/>
        <v>-1249.7318007662852</v>
      </c>
      <c r="I25" s="133">
        <f>I20/I15/3*1000</f>
        <v>5840.1467505241089</v>
      </c>
      <c r="J25" s="133">
        <f>J20/J15/3*1000</f>
        <v>6304.2976939203354</v>
      </c>
      <c r="K25" s="133">
        <f>K20/K15/3*1000</f>
        <v>6364.4514767932487</v>
      </c>
      <c r="L25" s="133">
        <f>L20/L15/3*1000</f>
        <v>6657.489451476793</v>
      </c>
      <c r="M25" s="15"/>
      <c r="O25" s="133">
        <f>O20/O15*1000/3</f>
        <v>9596.2222222222226</v>
      </c>
      <c r="P25" s="133">
        <f>P20/P15/3*1000</f>
        <v>9846.7777777777774</v>
      </c>
      <c r="Q25" s="133">
        <f>Q20/Q15/3*1000</f>
        <v>10154</v>
      </c>
      <c r="R25" s="133">
        <f>R20/R15/3*1000</f>
        <v>9777.7777777777774</v>
      </c>
      <c r="S25" s="15"/>
    </row>
    <row r="26" spans="1:19" ht="18.75" customHeight="1">
      <c r="A26" s="240" t="s">
        <v>50</v>
      </c>
      <c r="B26" s="246" t="s">
        <v>51</v>
      </c>
      <c r="C26" s="272" t="s">
        <v>47</v>
      </c>
      <c r="D26" s="262">
        <f>63.6+42.3</f>
        <v>105.9</v>
      </c>
      <c r="E26" s="132">
        <v>40</v>
      </c>
      <c r="F26" s="134">
        <v>34.700000000000003</v>
      </c>
      <c r="G26" s="228">
        <f t="shared" si="1"/>
        <v>-5.2999999999999972</v>
      </c>
      <c r="I26" s="134">
        <v>54.3</v>
      </c>
      <c r="J26" s="134">
        <v>56</v>
      </c>
      <c r="K26" s="134">
        <v>43.3</v>
      </c>
      <c r="L26" s="134">
        <f>63.6+42.3</f>
        <v>105.9</v>
      </c>
      <c r="M26" s="15"/>
      <c r="O26" s="132">
        <v>70</v>
      </c>
      <c r="P26" s="132">
        <v>70</v>
      </c>
      <c r="Q26" s="132">
        <v>70</v>
      </c>
      <c r="R26" s="132">
        <v>70</v>
      </c>
      <c r="S26" s="15"/>
    </row>
    <row r="27" spans="1:19" ht="31.5">
      <c r="A27" s="240" t="s">
        <v>52</v>
      </c>
      <c r="B27" s="246" t="s">
        <v>152</v>
      </c>
      <c r="C27" s="272" t="s">
        <v>47</v>
      </c>
      <c r="D27" s="260">
        <f>D28+D29+D30+D31</f>
        <v>155.30000000000001</v>
      </c>
      <c r="E27" s="132">
        <f>E28+E29+E30+E31</f>
        <v>50</v>
      </c>
      <c r="F27" s="132">
        <f>F28+F29+F30+F31</f>
        <v>212.6</v>
      </c>
      <c r="G27" s="228">
        <f t="shared" si="1"/>
        <v>162.6</v>
      </c>
      <c r="I27" s="132">
        <f>I28+I29+I30+I31</f>
        <v>68.3</v>
      </c>
      <c r="J27" s="132">
        <f>J28+J29+J30+J31</f>
        <v>62.3</v>
      </c>
      <c r="K27" s="132">
        <f>K28+K29+K30+K31</f>
        <v>43.4</v>
      </c>
      <c r="L27" s="132">
        <f>L28+L29+L30+L31</f>
        <v>155.30000000000001</v>
      </c>
      <c r="M27" s="15"/>
      <c r="O27" s="132">
        <f>O28+O29+O30+O31</f>
        <v>70</v>
      </c>
      <c r="P27" s="132">
        <f>P28+P29+P30+P31</f>
        <v>70</v>
      </c>
      <c r="Q27" s="132">
        <f>Q28+Q29+Q30+Q31</f>
        <v>70</v>
      </c>
      <c r="R27" s="132">
        <f>R28+R29+R30+R31</f>
        <v>70</v>
      </c>
      <c r="S27" s="15"/>
    </row>
    <row r="28" spans="1:19" ht="20.25" customHeight="1">
      <c r="A28" s="240"/>
      <c r="B28" s="251" t="s">
        <v>53</v>
      </c>
      <c r="C28" s="271" t="s">
        <v>47</v>
      </c>
      <c r="D28" s="263">
        <v>56.7</v>
      </c>
      <c r="E28" s="135">
        <v>50</v>
      </c>
      <c r="F28" s="135">
        <v>211.1</v>
      </c>
      <c r="G28" s="228">
        <f t="shared" si="1"/>
        <v>161.1</v>
      </c>
      <c r="I28" s="135">
        <v>57</v>
      </c>
      <c r="J28" s="135">
        <v>55.9</v>
      </c>
      <c r="K28" s="135">
        <v>43.4</v>
      </c>
      <c r="L28" s="135">
        <v>56.7</v>
      </c>
      <c r="M28" s="15"/>
      <c r="O28" s="133">
        <v>70</v>
      </c>
      <c r="P28" s="135">
        <v>70</v>
      </c>
      <c r="Q28" s="135">
        <v>70</v>
      </c>
      <c r="R28" s="135">
        <v>70</v>
      </c>
      <c r="S28" s="15"/>
    </row>
    <row r="29" spans="1:19" ht="17.25" customHeight="1">
      <c r="A29" s="240"/>
      <c r="B29" s="251" t="s">
        <v>54</v>
      </c>
      <c r="C29" s="271" t="s">
        <v>47</v>
      </c>
      <c r="D29" s="259">
        <v>0</v>
      </c>
      <c r="E29" s="178">
        <v>0</v>
      </c>
      <c r="F29" s="130">
        <v>0</v>
      </c>
      <c r="G29" s="229">
        <f>D29-E29</f>
        <v>0</v>
      </c>
      <c r="I29" s="130">
        <v>0</v>
      </c>
      <c r="J29" s="130">
        <v>0</v>
      </c>
      <c r="K29" s="130">
        <v>0</v>
      </c>
      <c r="L29" s="130">
        <v>0</v>
      </c>
      <c r="M29" s="175"/>
      <c r="O29" s="131">
        <v>0</v>
      </c>
      <c r="P29" s="130">
        <v>0</v>
      </c>
      <c r="Q29" s="178">
        <v>0</v>
      </c>
      <c r="R29" s="178">
        <v>0</v>
      </c>
      <c r="S29" s="175"/>
    </row>
    <row r="30" spans="1:19" ht="21" customHeight="1">
      <c r="A30" s="240"/>
      <c r="B30" s="251" t="s">
        <v>139</v>
      </c>
      <c r="C30" s="271" t="s">
        <v>47</v>
      </c>
      <c r="D30" s="259">
        <v>98.6</v>
      </c>
      <c r="E30" s="178"/>
      <c r="F30" s="130">
        <v>1.5</v>
      </c>
      <c r="G30" s="227">
        <f t="shared" ref="G30:G40" si="4">F30-E30</f>
        <v>1.5</v>
      </c>
      <c r="I30" s="130">
        <v>11.3</v>
      </c>
      <c r="J30" s="130">
        <v>6.4</v>
      </c>
      <c r="K30" s="130"/>
      <c r="L30" s="130">
        <v>98.6</v>
      </c>
      <c r="M30" s="15"/>
      <c r="O30" s="131">
        <v>0</v>
      </c>
      <c r="P30" s="130"/>
      <c r="Q30" s="178"/>
      <c r="R30" s="178"/>
      <c r="S30" s="15"/>
    </row>
    <row r="31" spans="1:19" ht="44.25" customHeight="1">
      <c r="A31" s="240"/>
      <c r="B31" s="251" t="s">
        <v>55</v>
      </c>
      <c r="C31" s="271" t="s">
        <v>47</v>
      </c>
      <c r="D31" s="259">
        <v>0</v>
      </c>
      <c r="E31" s="178">
        <v>0</v>
      </c>
      <c r="F31" s="130">
        <v>0</v>
      </c>
      <c r="G31" s="227">
        <f t="shared" si="4"/>
        <v>0</v>
      </c>
      <c r="I31" s="130">
        <v>0</v>
      </c>
      <c r="J31" s="130">
        <v>0</v>
      </c>
      <c r="K31" s="130">
        <v>0</v>
      </c>
      <c r="L31" s="130">
        <v>0</v>
      </c>
      <c r="M31" s="175"/>
      <c r="O31" s="131">
        <v>0</v>
      </c>
      <c r="P31" s="130">
        <v>0</v>
      </c>
      <c r="Q31" s="178">
        <v>0</v>
      </c>
      <c r="R31" s="178">
        <v>0</v>
      </c>
      <c r="S31" s="175"/>
    </row>
    <row r="32" spans="1:19" ht="16.5" customHeight="1">
      <c r="A32" s="240"/>
      <c r="B32" s="251" t="s">
        <v>56</v>
      </c>
      <c r="C32" s="271" t="s">
        <v>47</v>
      </c>
      <c r="D32" s="259">
        <v>0</v>
      </c>
      <c r="E32" s="178">
        <v>0</v>
      </c>
      <c r="F32" s="130">
        <v>0</v>
      </c>
      <c r="G32" s="227">
        <f t="shared" si="4"/>
        <v>0</v>
      </c>
      <c r="I32" s="130">
        <v>0</v>
      </c>
      <c r="J32" s="130">
        <v>0</v>
      </c>
      <c r="K32" s="130">
        <v>0</v>
      </c>
      <c r="L32" s="130">
        <v>0</v>
      </c>
      <c r="M32" s="175"/>
      <c r="O32" s="131">
        <v>0</v>
      </c>
      <c r="P32" s="130">
        <v>0</v>
      </c>
      <c r="Q32" s="178">
        <v>0</v>
      </c>
      <c r="R32" s="178">
        <v>0</v>
      </c>
      <c r="S32" s="175"/>
    </row>
    <row r="33" spans="1:19" ht="31.5">
      <c r="A33" s="240" t="s">
        <v>57</v>
      </c>
      <c r="B33" s="246" t="s">
        <v>58</v>
      </c>
      <c r="C33" s="272" t="s">
        <v>47</v>
      </c>
      <c r="D33" s="264">
        <f>SUM(D34:D39)</f>
        <v>0</v>
      </c>
      <c r="E33" s="180">
        <f>SUM(E34:E39)</f>
        <v>0</v>
      </c>
      <c r="F33" s="67">
        <f>SUM(F34:F39)</f>
        <v>0</v>
      </c>
      <c r="G33" s="227">
        <f t="shared" si="4"/>
        <v>0</v>
      </c>
      <c r="I33" s="67">
        <f>SUM(I34:I39)</f>
        <v>0</v>
      </c>
      <c r="J33" s="67">
        <f>SUM(J34:J39)</f>
        <v>0</v>
      </c>
      <c r="K33" s="67">
        <f>SUM(K34:K39)</f>
        <v>0</v>
      </c>
      <c r="L33" s="67">
        <f>SUM(L34:L39)</f>
        <v>0</v>
      </c>
      <c r="M33" s="179"/>
      <c r="O33" s="67">
        <f>SUM(O34:O39)</f>
        <v>0</v>
      </c>
      <c r="P33" s="67">
        <f>SUM(P34:P39)</f>
        <v>0</v>
      </c>
      <c r="Q33" s="180">
        <f>SUM(Q34:Q39)</f>
        <v>0</v>
      </c>
      <c r="R33" s="180">
        <f>SUM(R34:R39)</f>
        <v>0</v>
      </c>
      <c r="S33" s="179"/>
    </row>
    <row r="34" spans="1:19" ht="46.5" customHeight="1">
      <c r="A34" s="240"/>
      <c r="B34" s="252" t="s">
        <v>59</v>
      </c>
      <c r="C34" s="272"/>
      <c r="D34" s="259">
        <v>0</v>
      </c>
      <c r="E34" s="178">
        <v>0</v>
      </c>
      <c r="F34" s="130">
        <v>0</v>
      </c>
      <c r="G34" s="227">
        <f t="shared" si="4"/>
        <v>0</v>
      </c>
      <c r="I34" s="130">
        <v>0</v>
      </c>
      <c r="J34" s="130">
        <v>0</v>
      </c>
      <c r="K34" s="130">
        <v>0</v>
      </c>
      <c r="L34" s="130">
        <v>0</v>
      </c>
      <c r="M34" s="175"/>
      <c r="O34" s="131">
        <v>0</v>
      </c>
      <c r="P34" s="130">
        <v>0</v>
      </c>
      <c r="Q34" s="178">
        <v>0</v>
      </c>
      <c r="R34" s="178">
        <v>0</v>
      </c>
      <c r="S34" s="175"/>
    </row>
    <row r="35" spans="1:19" ht="15.75">
      <c r="A35" s="240"/>
      <c r="B35" s="252" t="s">
        <v>60</v>
      </c>
      <c r="C35" s="272"/>
      <c r="D35" s="259">
        <v>0</v>
      </c>
      <c r="E35" s="178">
        <v>0</v>
      </c>
      <c r="F35" s="130">
        <v>0</v>
      </c>
      <c r="G35" s="227">
        <f t="shared" si="4"/>
        <v>0</v>
      </c>
      <c r="I35" s="130">
        <v>0</v>
      </c>
      <c r="J35" s="130">
        <v>0</v>
      </c>
      <c r="K35" s="130">
        <v>0</v>
      </c>
      <c r="L35" s="130">
        <v>0</v>
      </c>
      <c r="M35" s="175"/>
      <c r="O35" s="131">
        <v>0</v>
      </c>
      <c r="P35" s="130">
        <v>0</v>
      </c>
      <c r="Q35" s="178">
        <v>0</v>
      </c>
      <c r="R35" s="178">
        <v>0</v>
      </c>
      <c r="S35" s="175"/>
    </row>
    <row r="36" spans="1:19" ht="28.5" customHeight="1">
      <c r="A36" s="240"/>
      <c r="B36" s="252" t="s">
        <v>61</v>
      </c>
      <c r="C36" s="272"/>
      <c r="D36" s="259">
        <v>0</v>
      </c>
      <c r="E36" s="178">
        <v>0</v>
      </c>
      <c r="F36" s="130">
        <v>0</v>
      </c>
      <c r="G36" s="227">
        <f t="shared" si="4"/>
        <v>0</v>
      </c>
      <c r="I36" s="130">
        <v>0</v>
      </c>
      <c r="J36" s="130">
        <v>0</v>
      </c>
      <c r="K36" s="130">
        <v>0</v>
      </c>
      <c r="L36" s="130">
        <v>0</v>
      </c>
      <c r="M36" s="175"/>
      <c r="O36" s="131">
        <v>0</v>
      </c>
      <c r="P36" s="130">
        <v>0</v>
      </c>
      <c r="Q36" s="178">
        <v>0</v>
      </c>
      <c r="R36" s="178">
        <v>0</v>
      </c>
      <c r="S36" s="175"/>
    </row>
    <row r="37" spans="1:19" ht="34.5" customHeight="1">
      <c r="A37" s="240"/>
      <c r="B37" s="252" t="s">
        <v>62</v>
      </c>
      <c r="C37" s="272"/>
      <c r="D37" s="259">
        <v>0</v>
      </c>
      <c r="E37" s="178">
        <v>0</v>
      </c>
      <c r="F37" s="130">
        <v>0</v>
      </c>
      <c r="G37" s="227">
        <f t="shared" si="4"/>
        <v>0</v>
      </c>
      <c r="I37" s="130">
        <v>0</v>
      </c>
      <c r="J37" s="130">
        <v>0</v>
      </c>
      <c r="K37" s="130">
        <v>0</v>
      </c>
      <c r="L37" s="130">
        <v>0</v>
      </c>
      <c r="M37" s="175"/>
      <c r="O37" s="131">
        <v>0</v>
      </c>
      <c r="P37" s="130">
        <v>0</v>
      </c>
      <c r="Q37" s="178">
        <v>0</v>
      </c>
      <c r="R37" s="178">
        <v>0</v>
      </c>
      <c r="S37" s="175"/>
    </row>
    <row r="38" spans="1:19" ht="44.25" customHeight="1">
      <c r="A38" s="240"/>
      <c r="B38" s="252" t="s">
        <v>63</v>
      </c>
      <c r="C38" s="272"/>
      <c r="D38" s="259">
        <v>0</v>
      </c>
      <c r="E38" s="178">
        <v>0</v>
      </c>
      <c r="F38" s="130">
        <v>0</v>
      </c>
      <c r="G38" s="227">
        <f t="shared" si="4"/>
        <v>0</v>
      </c>
      <c r="I38" s="130">
        <v>0</v>
      </c>
      <c r="J38" s="130">
        <v>0</v>
      </c>
      <c r="K38" s="130">
        <v>0</v>
      </c>
      <c r="L38" s="130">
        <v>0</v>
      </c>
      <c r="M38" s="175"/>
      <c r="O38" s="131">
        <v>0</v>
      </c>
      <c r="P38" s="130">
        <v>0</v>
      </c>
      <c r="Q38" s="178">
        <v>0</v>
      </c>
      <c r="R38" s="178">
        <v>0</v>
      </c>
      <c r="S38" s="175"/>
    </row>
    <row r="39" spans="1:19" ht="15.75">
      <c r="A39" s="240"/>
      <c r="B39" s="249" t="s">
        <v>56</v>
      </c>
      <c r="C39" s="272"/>
      <c r="D39" s="265">
        <v>0</v>
      </c>
      <c r="E39" s="181">
        <v>0</v>
      </c>
      <c r="F39" s="163">
        <v>0</v>
      </c>
      <c r="G39" s="227">
        <f t="shared" si="4"/>
        <v>0</v>
      </c>
      <c r="I39" s="163">
        <v>0</v>
      </c>
      <c r="J39" s="163">
        <v>0</v>
      </c>
      <c r="K39" s="163">
        <v>0</v>
      </c>
      <c r="L39" s="163">
        <v>0</v>
      </c>
      <c r="M39" s="175"/>
      <c r="O39" s="131">
        <v>0</v>
      </c>
      <c r="P39" s="163">
        <v>0</v>
      </c>
      <c r="Q39" s="181">
        <v>0</v>
      </c>
      <c r="R39" s="181">
        <v>0</v>
      </c>
      <c r="S39" s="175"/>
    </row>
    <row r="40" spans="1:19" ht="18" customHeight="1">
      <c r="A40" s="242"/>
      <c r="B40" s="246" t="s">
        <v>64</v>
      </c>
      <c r="C40" s="271" t="s">
        <v>47</v>
      </c>
      <c r="D40" s="266">
        <f>D16+D26+D27+D33</f>
        <v>9299.0999999999985</v>
      </c>
      <c r="E40" s="164">
        <f>E16+E26+E27+E33</f>
        <v>11088</v>
      </c>
      <c r="F40" s="164">
        <f>F16+F26+F27+F33</f>
        <v>10824.300000000001</v>
      </c>
      <c r="G40" s="227">
        <f t="shared" si="4"/>
        <v>-263.69999999999891</v>
      </c>
      <c r="I40" s="67">
        <f>I16+I26+I27+I33</f>
        <v>8003.6</v>
      </c>
      <c r="J40" s="164">
        <f>J16+J26+J27+J33</f>
        <v>8577.6999999999989</v>
      </c>
      <c r="K40" s="164">
        <f>K16+K26+K27+K33</f>
        <v>8716.4</v>
      </c>
      <c r="L40" s="164">
        <f>L16+L26+L27+L33</f>
        <v>9299.0999999999985</v>
      </c>
      <c r="M40" s="177"/>
      <c r="O40" s="164">
        <f>O16+O26+O27+O33</f>
        <v>10882</v>
      </c>
      <c r="P40" s="164">
        <f>P16+P26+P27+P33</f>
        <v>11179</v>
      </c>
      <c r="Q40" s="164">
        <f>Q16+Q26+Q27+Q33</f>
        <v>11516</v>
      </c>
      <c r="R40" s="164">
        <f>R16+R26+R27+R33</f>
        <v>11088</v>
      </c>
      <c r="S40" s="177"/>
    </row>
    <row r="41" spans="1:19" ht="15.75" customHeight="1">
      <c r="A41" s="243"/>
      <c r="B41" s="253" t="s">
        <v>65</v>
      </c>
      <c r="C41" s="271"/>
      <c r="D41" s="267"/>
      <c r="E41" s="182"/>
      <c r="F41" s="165"/>
      <c r="G41" s="227"/>
      <c r="I41" s="165"/>
      <c r="J41" s="165"/>
      <c r="K41" s="165"/>
      <c r="L41" s="165"/>
      <c r="M41" s="175"/>
      <c r="O41" s="131"/>
      <c r="P41" s="165"/>
      <c r="Q41" s="182"/>
      <c r="R41" s="182"/>
      <c r="S41" s="175"/>
    </row>
    <row r="42" spans="1:19" ht="17.25" customHeight="1">
      <c r="A42" s="241" t="s">
        <v>66</v>
      </c>
      <c r="B42" s="249" t="s">
        <v>67</v>
      </c>
      <c r="C42" s="271" t="s">
        <v>47</v>
      </c>
      <c r="D42" s="268">
        <f>D16-D18-D44</f>
        <v>7070</v>
      </c>
      <c r="E42" s="131">
        <f>E16-E18-E44</f>
        <v>9128</v>
      </c>
      <c r="F42" s="131">
        <f>F16-F18-F44</f>
        <v>8715.1</v>
      </c>
      <c r="G42" s="227">
        <f>F42-E42</f>
        <v>-412.89999999999964</v>
      </c>
      <c r="I42" s="131">
        <f>I16-I18-I44</f>
        <v>6234.8</v>
      </c>
      <c r="J42" s="131">
        <f>J16-J18-J44</f>
        <v>6755.4</v>
      </c>
      <c r="K42" s="131">
        <f>K16-K18-K44</f>
        <v>6850.3000000000011</v>
      </c>
      <c r="L42" s="131">
        <f>L16-L18-L44</f>
        <v>7070</v>
      </c>
      <c r="M42" s="15"/>
      <c r="O42" s="131">
        <f>O16-O18-O44</f>
        <v>8684.7000000000007</v>
      </c>
      <c r="P42" s="131">
        <f>P16-P18-P44</f>
        <v>9138</v>
      </c>
      <c r="Q42" s="131">
        <f>Q16-Q18-Q44</f>
        <v>9416</v>
      </c>
      <c r="R42" s="131">
        <f>R16-R18-R44</f>
        <v>9078</v>
      </c>
      <c r="S42" s="15"/>
    </row>
    <row r="43" spans="1:19" ht="15.75" customHeight="1">
      <c r="A43" s="241" t="s">
        <v>68</v>
      </c>
      <c r="B43" s="249" t="s">
        <v>69</v>
      </c>
      <c r="C43" s="271" t="s">
        <v>47</v>
      </c>
      <c r="D43" s="268">
        <f>D18</f>
        <v>821.5</v>
      </c>
      <c r="E43" s="131">
        <f>E18</f>
        <v>983</v>
      </c>
      <c r="F43" s="131">
        <f>F18</f>
        <v>882.6</v>
      </c>
      <c r="G43" s="227">
        <f>F43-E43</f>
        <v>-100.39999999999998</v>
      </c>
      <c r="I43" s="131">
        <f>I18</f>
        <v>612.5</v>
      </c>
      <c r="J43" s="131">
        <f>J18</f>
        <v>682.3</v>
      </c>
      <c r="K43" s="131">
        <f>K18</f>
        <v>749.5</v>
      </c>
      <c r="L43" s="131">
        <f>L18</f>
        <v>821.5</v>
      </c>
      <c r="M43" s="15"/>
      <c r="O43" s="131">
        <f>O18</f>
        <v>1191.3</v>
      </c>
      <c r="P43" s="131">
        <f>P18</f>
        <v>999</v>
      </c>
      <c r="Q43" s="131">
        <f>Q18</f>
        <v>1030</v>
      </c>
      <c r="R43" s="131">
        <f>R18</f>
        <v>983</v>
      </c>
      <c r="S43" s="15"/>
    </row>
    <row r="44" spans="1:19" ht="16.5" customHeight="1">
      <c r="A44" s="241" t="s">
        <v>70</v>
      </c>
      <c r="B44" s="249" t="s">
        <v>71</v>
      </c>
      <c r="C44" s="271" t="s">
        <v>47</v>
      </c>
      <c r="D44" s="259">
        <f>775+371.4</f>
        <v>1146.4000000000001</v>
      </c>
      <c r="E44" s="130">
        <v>887</v>
      </c>
      <c r="F44" s="130">
        <v>979.3</v>
      </c>
      <c r="G44" s="227">
        <f>F44-E44</f>
        <v>92.299999999999955</v>
      </c>
      <c r="I44" s="130">
        <f>711.7+322</f>
        <v>1033.7</v>
      </c>
      <c r="J44" s="130">
        <v>1021.7</v>
      </c>
      <c r="K44" s="130">
        <f>701.7+328.2</f>
        <v>1029.9000000000001</v>
      </c>
      <c r="L44" s="130">
        <f>775+371.4</f>
        <v>1146.4000000000001</v>
      </c>
      <c r="M44" s="15"/>
      <c r="O44" s="131">
        <v>866</v>
      </c>
      <c r="P44" s="130">
        <v>902</v>
      </c>
      <c r="Q44" s="130">
        <v>930</v>
      </c>
      <c r="R44" s="130">
        <v>887</v>
      </c>
      <c r="S44" s="15"/>
    </row>
    <row r="45" spans="1:19" ht="17.25" customHeight="1" thickBot="1">
      <c r="A45" s="244" t="s">
        <v>72</v>
      </c>
      <c r="B45" s="254" t="s">
        <v>73</v>
      </c>
      <c r="C45" s="273" t="s">
        <v>47</v>
      </c>
      <c r="D45" s="269">
        <f>D26+D27+D33</f>
        <v>261.20000000000005</v>
      </c>
      <c r="E45" s="230">
        <f>E26+E27+E33</f>
        <v>90</v>
      </c>
      <c r="F45" s="230">
        <f>F26+F27+F33</f>
        <v>247.3</v>
      </c>
      <c r="G45" s="231">
        <f>F45-E45</f>
        <v>157.30000000000001</v>
      </c>
      <c r="I45" s="131">
        <f>I26+I27+I33</f>
        <v>122.6</v>
      </c>
      <c r="J45" s="131">
        <f>J26+J27+J33</f>
        <v>118.3</v>
      </c>
      <c r="K45" s="131">
        <f>K26+K27+K33</f>
        <v>86.699999999999989</v>
      </c>
      <c r="L45" s="131">
        <f>L26+L27+L33</f>
        <v>261.20000000000005</v>
      </c>
      <c r="M45" s="15"/>
      <c r="O45" s="131">
        <f>O26+O27+O33</f>
        <v>140</v>
      </c>
      <c r="P45" s="131">
        <f>P26+P27+P33</f>
        <v>140</v>
      </c>
      <c r="Q45" s="131">
        <f>Q26+Q27+Q33</f>
        <v>140</v>
      </c>
      <c r="R45" s="131">
        <f>R26+R27+R33</f>
        <v>140</v>
      </c>
      <c r="S45" s="15"/>
    </row>
    <row r="46" spans="1:19" ht="17.25" customHeight="1">
      <c r="A46" s="219"/>
      <c r="B46" s="220"/>
      <c r="C46" s="221"/>
      <c r="D46" s="222"/>
      <c r="E46" s="222"/>
      <c r="F46" s="222"/>
      <c r="G46" s="223"/>
      <c r="I46" s="222"/>
      <c r="J46" s="222"/>
      <c r="K46" s="222"/>
      <c r="L46" s="222"/>
      <c r="M46" s="224"/>
      <c r="O46" s="222"/>
      <c r="P46" s="222"/>
      <c r="Q46" s="222"/>
      <c r="R46" s="222"/>
      <c r="S46" s="224"/>
    </row>
    <row r="47" spans="1:19" ht="17.25" customHeight="1">
      <c r="A47" s="219"/>
      <c r="B47" s="220"/>
      <c r="C47" s="221"/>
      <c r="D47" s="222"/>
      <c r="E47" s="222"/>
      <c r="F47" s="222"/>
      <c r="G47" s="223"/>
      <c r="I47" s="222"/>
      <c r="J47" s="222"/>
      <c r="K47" s="222"/>
      <c r="L47" s="222"/>
      <c r="M47" s="224"/>
      <c r="O47" s="222"/>
      <c r="P47" s="222"/>
      <c r="Q47" s="222"/>
      <c r="R47" s="222"/>
      <c r="S47" s="224"/>
    </row>
    <row r="48" spans="1:19" ht="15.75">
      <c r="A48" s="94"/>
      <c r="B48" s="94"/>
      <c r="C48" s="94"/>
      <c r="D48" s="183"/>
      <c r="E48" s="94"/>
      <c r="F48" s="94"/>
      <c r="G48" s="94"/>
    </row>
    <row r="49" spans="1:7" ht="18.75">
      <c r="B49" s="95" t="s">
        <v>74</v>
      </c>
      <c r="C49" s="95"/>
      <c r="D49" s="95" t="s">
        <v>156</v>
      </c>
      <c r="E49" s="95"/>
      <c r="G49" s="95"/>
    </row>
    <row r="50" spans="1:7" ht="18.75">
      <c r="B50" s="95"/>
      <c r="C50" s="95"/>
      <c r="D50" s="95"/>
      <c r="E50" s="95"/>
      <c r="G50" s="95"/>
    </row>
    <row r="51" spans="1:7" ht="18.75">
      <c r="B51" s="95"/>
      <c r="C51" s="95"/>
      <c r="D51" s="95"/>
      <c r="E51" s="95"/>
      <c r="G51" s="95"/>
    </row>
    <row r="52" spans="1:7" ht="15.75">
      <c r="A52" s="94"/>
      <c r="B52" s="94"/>
      <c r="C52" s="94"/>
      <c r="D52" s="183"/>
      <c r="E52" s="94"/>
      <c r="F52" s="94"/>
      <c r="G52" s="94"/>
    </row>
    <row r="53" spans="1:7" ht="15.75">
      <c r="A53" s="94" t="s">
        <v>157</v>
      </c>
      <c r="B53" s="94"/>
      <c r="C53" s="94"/>
      <c r="D53" s="183"/>
      <c r="E53" s="94"/>
      <c r="F53" s="94"/>
      <c r="G53" s="94"/>
    </row>
    <row r="54" spans="1:7">
      <c r="D54" s="184"/>
    </row>
    <row r="55" spans="1:7">
      <c r="D55" s="184"/>
    </row>
  </sheetData>
  <mergeCells count="4">
    <mergeCell ref="A6:G6"/>
    <mergeCell ref="A7:G7"/>
    <mergeCell ref="I9:M9"/>
    <mergeCell ref="O9:S9"/>
  </mergeCells>
  <phoneticPr fontId="5" type="noConversion"/>
  <printOptions horizontalCentered="1"/>
  <pageMargins left="0.59055118110236227" right="0.19685039370078741" top="0.19685039370078741" bottom="0.19685039370078741" header="0" footer="0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порівн.х-ка</vt:lpstr>
      <vt:lpstr>зпл.</vt:lpstr>
    </vt:vector>
  </TitlesOfParts>
  <Company>КП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Пантелеевна</dc:creator>
  <cp:lastModifiedBy>Olga</cp:lastModifiedBy>
  <cp:lastPrinted>2021-01-27T13:42:09Z</cp:lastPrinted>
  <dcterms:created xsi:type="dcterms:W3CDTF">2011-04-21T10:01:16Z</dcterms:created>
  <dcterms:modified xsi:type="dcterms:W3CDTF">2021-04-15T05:09:34Z</dcterms:modified>
</cp:coreProperties>
</file>