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" yWindow="0" windowWidth="15732" windowHeight="11016" activeTab="2"/>
  </bookViews>
  <sheets>
    <sheet name="отчет" sheetId="2" r:id="rId1"/>
    <sheet name="порівн.х-ка" sheetId="5" r:id="rId2"/>
    <sheet name="зпл." sheetId="4" r:id="rId3"/>
  </sheets>
  <externalReferences>
    <externalReference r:id="rId4"/>
  </externalReferences>
  <definedNames>
    <definedName name="_xlnm.Print_Titles" localSheetId="2">зпл.!$5:$5</definedName>
    <definedName name="_xlnm.Print_Titles" localSheetId="0">отчет!$12:$14</definedName>
    <definedName name="_xlnm.Print_Area" localSheetId="2">зпл.!$A$1:$G$44</definedName>
    <definedName name="_xlnm.Print_Area" localSheetId="0">отчет!$A$1:$L$68</definedName>
    <definedName name="_xlnm.Print_Area" localSheetId="1">'порівн.х-ка'!$A$1:$E$40</definedName>
  </definedNames>
  <calcPr calcId="124519"/>
</workbook>
</file>

<file path=xl/calcChain.xml><?xml version="1.0" encoding="utf-8"?>
<calcChain xmlns="http://schemas.openxmlformats.org/spreadsheetml/2006/main">
  <c r="L16" i="2"/>
  <c r="L23"/>
  <c r="J17"/>
  <c r="J16"/>
  <c r="L15"/>
  <c r="P23"/>
  <c r="K16"/>
  <c r="K17" s="1"/>
  <c r="K34" i="5"/>
  <c r="J34"/>
  <c r="I34"/>
  <c r="H34"/>
  <c r="G34"/>
  <c r="K33"/>
  <c r="K32"/>
  <c r="K31"/>
  <c r="L59" i="2"/>
  <c r="L53"/>
  <c r="L50"/>
  <c r="K50"/>
  <c r="G40" i="5"/>
  <c r="C19"/>
  <c r="C18"/>
  <c r="G42" s="1"/>
  <c r="C20" s="1"/>
  <c r="L17" i="2" l="1"/>
  <c r="K22"/>
  <c r="L49" l="1"/>
  <c r="L48"/>
  <c r="L47"/>
  <c r="L46"/>
  <c r="L45"/>
  <c r="L44"/>
  <c r="L43"/>
  <c r="L41"/>
  <c r="L28"/>
  <c r="B26" i="5" l="1"/>
  <c r="B19"/>
  <c r="B18"/>
  <c r="B20" s="1"/>
  <c r="B16"/>
  <c r="B7"/>
  <c r="B23" s="1"/>
  <c r="M39" i="4"/>
  <c r="L39"/>
  <c r="L37" s="1"/>
  <c r="F39"/>
  <c r="G39" s="1"/>
  <c r="D39"/>
  <c r="M38"/>
  <c r="L38"/>
  <c r="K38"/>
  <c r="J38"/>
  <c r="F38"/>
  <c r="E38"/>
  <c r="G38" s="1"/>
  <c r="D38"/>
  <c r="M37"/>
  <c r="K37"/>
  <c r="J37"/>
  <c r="D37"/>
  <c r="G34"/>
  <c r="G33"/>
  <c r="G32"/>
  <c r="G31"/>
  <c r="G30"/>
  <c r="G29"/>
  <c r="M28"/>
  <c r="M35" s="1"/>
  <c r="L28"/>
  <c r="K28"/>
  <c r="K35" s="1"/>
  <c r="J28"/>
  <c r="F28"/>
  <c r="E28"/>
  <c r="G28" s="1"/>
  <c r="D28"/>
  <c r="G27"/>
  <c r="G26"/>
  <c r="G25"/>
  <c r="G24"/>
  <c r="G23"/>
  <c r="M22"/>
  <c r="M40" s="1"/>
  <c r="L22"/>
  <c r="L40" s="1"/>
  <c r="K22"/>
  <c r="K40" s="1"/>
  <c r="J22"/>
  <c r="J35" s="1"/>
  <c r="F22"/>
  <c r="G22" s="1"/>
  <c r="E22"/>
  <c r="E40" s="1"/>
  <c r="D22"/>
  <c r="D35" s="1"/>
  <c r="F21"/>
  <c r="F35" s="1"/>
  <c r="M20"/>
  <c r="L20"/>
  <c r="K20"/>
  <c r="J20"/>
  <c r="F20"/>
  <c r="G20" s="1"/>
  <c r="E20"/>
  <c r="D20"/>
  <c r="L19"/>
  <c r="J19"/>
  <c r="F19"/>
  <c r="D19"/>
  <c r="M18"/>
  <c r="L18"/>
  <c r="K18"/>
  <c r="J18"/>
  <c r="F18"/>
  <c r="G18" s="1"/>
  <c r="E18"/>
  <c r="D18"/>
  <c r="M16"/>
  <c r="L16"/>
  <c r="K16"/>
  <c r="J16"/>
  <c r="F16"/>
  <c r="D16"/>
  <c r="G15"/>
  <c r="M14"/>
  <c r="M19" s="1"/>
  <c r="L14"/>
  <c r="K14"/>
  <c r="K19" s="1"/>
  <c r="J14"/>
  <c r="F14"/>
  <c r="D14"/>
  <c r="G13"/>
  <c r="E11"/>
  <c r="E16" s="1"/>
  <c r="G10"/>
  <c r="G9"/>
  <c r="G8"/>
  <c r="G6"/>
  <c r="L60" i="2"/>
  <c r="L58"/>
  <c r="L57"/>
  <c r="L56"/>
  <c r="L55"/>
  <c r="E24" i="5"/>
  <c r="G16" i="4" l="1"/>
  <c r="E14"/>
  <c r="E35"/>
  <c r="G35" s="1"/>
  <c r="E37"/>
  <c r="D40"/>
  <c r="F40"/>
  <c r="G40" s="1"/>
  <c r="J40"/>
  <c r="G11"/>
  <c r="G21"/>
  <c r="L35"/>
  <c r="F37"/>
  <c r="G37" s="1"/>
  <c r="E19" l="1"/>
  <c r="G19" s="1"/>
  <c r="G14"/>
  <c r="N23" i="2"/>
  <c r="I16"/>
  <c r="J22"/>
  <c r="J42"/>
  <c r="J40" s="1"/>
  <c r="J39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J27"/>
  <c r="I29"/>
  <c r="D21" i="5"/>
  <c r="G50" i="2"/>
  <c r="G48"/>
  <c r="G47"/>
  <c r="G46"/>
  <c r="G45"/>
  <c r="G44"/>
  <c r="G43"/>
  <c r="G42"/>
  <c r="G41"/>
  <c r="G40" s="1"/>
  <c r="G36"/>
  <c r="G35"/>
  <c r="G34"/>
  <c r="G33"/>
  <c r="G32"/>
  <c r="G31"/>
  <c r="G30"/>
  <c r="G29"/>
  <c r="G28"/>
  <c r="C49"/>
  <c r="G49" s="1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E40"/>
  <c r="C40"/>
  <c r="F40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F27" s="1"/>
  <c r="F26" s="1"/>
  <c r="E28"/>
  <c r="D28"/>
  <c r="D27" s="1"/>
  <c r="C27"/>
  <c r="C26" s="1"/>
  <c r="F22"/>
  <c r="E22"/>
  <c r="D22"/>
  <c r="C22"/>
  <c r="I17"/>
  <c r="I22" s="1"/>
  <c r="H42"/>
  <c r="L42" s="1"/>
  <c r="H29"/>
  <c r="L29" s="1"/>
  <c r="H16"/>
  <c r="H17" s="1"/>
  <c r="G44" i="5"/>
  <c r="G45"/>
  <c r="D19"/>
  <c r="C7"/>
  <c r="C23" s="1"/>
  <c r="Q16" i="2"/>
  <c r="C19" s="1"/>
  <c r="H19"/>
  <c r="T15"/>
  <c r="S15"/>
  <c r="R15"/>
  <c r="Q15"/>
  <c r="R16"/>
  <c r="I19" s="1"/>
  <c r="D19"/>
  <c r="D26" i="5"/>
  <c r="D25"/>
  <c r="D24"/>
  <c r="D22"/>
  <c r="D18"/>
  <c r="D17"/>
  <c r="D16"/>
  <c r="D15"/>
  <c r="D14"/>
  <c r="D13"/>
  <c r="D12"/>
  <c r="D11"/>
  <c r="D10"/>
  <c r="D9"/>
  <c r="D8"/>
  <c r="E11"/>
  <c r="E12"/>
  <c r="E8"/>
  <c r="E9"/>
  <c r="E10"/>
  <c r="E13"/>
  <c r="E14"/>
  <c r="E15"/>
  <c r="E16"/>
  <c r="E17"/>
  <c r="E18"/>
  <c r="E19"/>
  <c r="E22"/>
  <c r="E25"/>
  <c r="E26"/>
  <c r="G15" i="2"/>
  <c r="S16"/>
  <c r="J19" s="1"/>
  <c r="T16"/>
  <c r="K19" s="1"/>
  <c r="Q17"/>
  <c r="C20" s="1"/>
  <c r="H20"/>
  <c r="R17"/>
  <c r="D20" s="1"/>
  <c r="S17"/>
  <c r="J20" s="1"/>
  <c r="T17"/>
  <c r="Q18"/>
  <c r="H21" s="1"/>
  <c r="R18"/>
  <c r="D21"/>
  <c r="I21"/>
  <c r="S18"/>
  <c r="J21" s="1"/>
  <c r="T18"/>
  <c r="G23"/>
  <c r="G16" s="1"/>
  <c r="I27"/>
  <c r="I26" s="1"/>
  <c r="K27"/>
  <c r="H40"/>
  <c r="I40"/>
  <c r="I39" s="1"/>
  <c r="K40"/>
  <c r="L51"/>
  <c r="L52"/>
  <c r="E7" i="5"/>
  <c r="G17" i="2"/>
  <c r="G22" s="1"/>
  <c r="F49"/>
  <c r="E21" i="5"/>
  <c r="I20" i="2"/>
  <c r="F21" l="1"/>
  <c r="K21"/>
  <c r="F20"/>
  <c r="K20"/>
  <c r="G39"/>
  <c r="C21"/>
  <c r="D49"/>
  <c r="H27"/>
  <c r="H26" s="1"/>
  <c r="F19"/>
  <c r="E19"/>
  <c r="G19" s="1"/>
  <c r="E27"/>
  <c r="C39"/>
  <c r="F39" s="1"/>
  <c r="D40"/>
  <c r="D39" s="1"/>
  <c r="E49"/>
  <c r="E39" s="1"/>
  <c r="G27"/>
  <c r="G26" s="1"/>
  <c r="K39"/>
  <c r="L40"/>
  <c r="K26"/>
  <c r="L27"/>
  <c r="D7" i="5"/>
  <c r="D23"/>
  <c r="E23"/>
  <c r="L22" i="2"/>
  <c r="H22"/>
  <c r="D20" i="5"/>
  <c r="E20"/>
  <c r="E26" i="2"/>
  <c r="L21"/>
  <c r="L19"/>
  <c r="L20"/>
  <c r="D26"/>
  <c r="H39"/>
  <c r="E21"/>
  <c r="E20"/>
  <c r="G20" s="1"/>
  <c r="J26"/>
  <c r="G21" l="1"/>
  <c r="L26"/>
  <c r="L39"/>
</calcChain>
</file>

<file path=xl/comments1.xml><?xml version="1.0" encoding="utf-8"?>
<comments xmlns="http://schemas.openxmlformats.org/spreadsheetml/2006/main">
  <authors>
    <author>Плановый</author>
  </authors>
  <commentList>
    <comment ref="H15" authorId="0">
      <text>
        <r>
          <rPr>
            <sz val="8"/>
            <color indexed="81"/>
            <rFont val="Tahoma"/>
            <family val="2"/>
            <charset val="204"/>
          </rPr>
          <t>ф 1-С, чист.доход+проч.операц.доход+
фин.проч.доход</t>
        </r>
      </text>
    </comment>
    <comment ref="H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I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J26" authorId="0">
      <text>
        <r>
          <rPr>
            <sz val="8"/>
            <color indexed="81"/>
            <rFont val="Tahoma"/>
            <family val="2"/>
            <charset val="204"/>
          </rPr>
          <t>стр. 24</t>
        </r>
      </text>
    </comment>
    <comment ref="H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I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J39" authorId="0">
      <text>
        <r>
          <rPr>
            <sz val="8"/>
            <color indexed="81"/>
            <rFont val="Tahoma"/>
            <family val="2"/>
            <charset val="204"/>
          </rPr>
          <t xml:space="preserve">стр. 53
</t>
        </r>
      </text>
    </comment>
    <comment ref="H53" authorId="0">
      <text>
        <r>
          <rPr>
            <sz val="8"/>
            <color indexed="81"/>
            <rFont val="Tahoma"/>
            <family val="2"/>
            <charset val="204"/>
          </rPr>
          <t>631 счет (1-С 7.7)
"Осн. Показатели/Задолженность", отч. 1С, стр.43</t>
        </r>
      </text>
    </comment>
    <comment ref="H55" authorId="0">
      <text>
        <r>
          <rPr>
            <sz val="8"/>
            <color indexed="81"/>
            <rFont val="Tahoma"/>
            <family val="2"/>
            <charset val="204"/>
          </rPr>
          <t>отч. 1С, стр. 45</t>
        </r>
      </text>
    </comment>
    <comment ref="H57" authorId="0">
      <text>
        <r>
          <rPr>
            <sz val="8"/>
            <color indexed="81"/>
            <rFont val="Tahoma"/>
            <family val="2"/>
            <charset val="204"/>
          </rPr>
          <t>осн.показ, стр. 89</t>
        </r>
      </text>
    </comment>
    <comment ref="H58" authorId="0">
      <text>
        <r>
          <rPr>
            <sz val="8"/>
            <color indexed="81"/>
            <rFont val="Tahoma"/>
            <family val="2"/>
            <charset val="204"/>
          </rPr>
          <t>в прогр. 1С, сч. 657 на конец периода.</t>
        </r>
      </text>
    </comment>
    <comment ref="H59" authorId="0">
      <text>
        <r>
          <rPr>
            <sz val="8"/>
            <color indexed="81"/>
            <rFont val="Tahoma"/>
            <family val="2"/>
            <charset val="204"/>
          </rPr>
          <t>Дт задолж. - текущ.потребл. (расшифр. Дт задолж, начисл. или в осн.показ., стр. 76 подлеж.оплате.</t>
        </r>
      </text>
    </comment>
  </commentList>
</comments>
</file>

<file path=xl/comments2.xml><?xml version="1.0" encoding="utf-8"?>
<comments xmlns="http://schemas.openxmlformats.org/spreadsheetml/2006/main">
  <authors>
    <author>plan3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387 (ЦВВ)+25 (ХВВ)+8(Вод.майст.)+4 (зл.ст.)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298 (ЦВВ)+21 (ХВВ)+7(вод.майст.)+4 (зл.ст.)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из фин.плана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92 рах.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92 сч.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92 сч.
в т.р. 103,3 тис.грн. компенсація відпустки звільненим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92 рах.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92 рах.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K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ФОТ штатных раб.- 92 сч.</t>
        </r>
      </text>
    </commen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мобіліз.</t>
        </r>
      </text>
    </comment>
    <comment ref="E35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= финплан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  <comment ref="J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  <comment ref="L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  <comment ref="M39" authorId="0">
      <text>
        <r>
          <rPr>
            <b/>
            <sz val="8"/>
            <color indexed="81"/>
            <rFont val="Tahoma"/>
            <family val="2"/>
            <charset val="204"/>
          </rPr>
          <t>plan3:</t>
        </r>
        <r>
          <rPr>
            <sz val="8"/>
            <color indexed="81"/>
            <rFont val="Tahoma"/>
            <family val="2"/>
            <charset val="204"/>
          </rPr>
          <t xml:space="preserve">
930+931</t>
        </r>
      </text>
    </comment>
  </commentList>
</comments>
</file>

<file path=xl/sharedStrings.xml><?xml version="1.0" encoding="utf-8"?>
<sst xmlns="http://schemas.openxmlformats.org/spreadsheetml/2006/main" count="244" uniqueCount="162">
  <si>
    <t>З В І Т</t>
  </si>
  <si>
    <t>Керівник підприємства</t>
  </si>
  <si>
    <t xml:space="preserve">            </t>
  </si>
  <si>
    <t>Показники</t>
  </si>
  <si>
    <t>Один. виміру</t>
  </si>
  <si>
    <t xml:space="preserve">                      За кварталами</t>
  </si>
  <si>
    <t>1.Дохід (виручка) від реалізації продукції (товарів,послуг,робіт)</t>
  </si>
  <si>
    <t>по форме № 2</t>
  </si>
  <si>
    <t>3.Використання виробничих потужностей з випуску основних видів продукції (за окремими видами продукції),відсотків:</t>
  </si>
  <si>
    <t>Водопостачання</t>
  </si>
  <si>
    <t>%</t>
  </si>
  <si>
    <t>Перекачування  стоків</t>
  </si>
  <si>
    <t>Очищення стоків</t>
  </si>
  <si>
    <t>4.Коефіцієнт фінансового стану підприємства(рівень рентабельності)</t>
  </si>
  <si>
    <t>грн.</t>
  </si>
  <si>
    <t>7.Заборгованість із заробітної плати - всього</t>
  </si>
  <si>
    <t>- місяців</t>
  </si>
  <si>
    <t>8.Кредиторська заборгованість-всього*</t>
  </si>
  <si>
    <t>у тому числі:</t>
  </si>
  <si>
    <t>комерційним банкам</t>
  </si>
  <si>
    <t>тис.грн.</t>
  </si>
  <si>
    <t>10.Частина чистого прибутку підприємства, що спрямована на розвиток виробництва</t>
  </si>
  <si>
    <t>Передбачено контрактом</t>
  </si>
  <si>
    <t xml:space="preserve">Фактичне виконання </t>
  </si>
  <si>
    <t>за кварталами</t>
  </si>
  <si>
    <t>за рік</t>
  </si>
  <si>
    <t>Директор  КП “Водоканал” ММР ЗО</t>
  </si>
  <si>
    <t>бюджету- всього</t>
  </si>
  <si>
    <t>5. Витрати на виробництво одиниці продукції (послуг), у тому числі по окремих найбільш характерних елементах затрат:</t>
  </si>
  <si>
    <t xml:space="preserve">*   без поточного споживання            </t>
  </si>
  <si>
    <t>тепло-енергопостачальним організаціям  - всього*</t>
  </si>
  <si>
    <t>керівника підприємства про виконання показників ефективності використання комунального майна і прибутку,а також майнового стану підприємства</t>
  </si>
  <si>
    <t>2.Чистий прибуток (по відпущеній продукції)</t>
  </si>
  <si>
    <t>Наймач: Виконавчий комітет Мелітопольскої міської ради</t>
  </si>
  <si>
    <t>всього ЄСВ</t>
  </si>
  <si>
    <t>Додаток 3</t>
  </si>
  <si>
    <t xml:space="preserve">ІНФОРМАЦІЯ ПРО ЧИСЕЛЬНІСТЬ ПРАЦЮЮЧИХ ТА СТАН ЗАРОБІТНОЇ ПЛАТИ   </t>
  </si>
  <si>
    <t>КП "ВОДОКАНАЛ" МЕЛІТОПОЛЬСЬКОЇ МІСЬКОЇ РАДИ ЗАПОРІЗЬКОЇ ОБЛАСТІ</t>
  </si>
  <si>
    <t>№ п/п</t>
  </si>
  <si>
    <t>Один.
виміру</t>
  </si>
  <si>
    <t>1.</t>
  </si>
  <si>
    <t>Середньооблікова чисельність штатних працівників облікового складу, всього</t>
  </si>
  <si>
    <t>осіб</t>
  </si>
  <si>
    <t>2.</t>
  </si>
  <si>
    <t>Фонд оплати праці штатних працівників, всього</t>
  </si>
  <si>
    <t>тис. грн.</t>
  </si>
  <si>
    <t xml:space="preserve">3. </t>
  </si>
  <si>
    <t xml:space="preserve">Середньомісячна заробітна плата, всього </t>
  </si>
  <si>
    <t>4.</t>
  </si>
  <si>
    <t>Фонд оплати праці позаштатних працівників</t>
  </si>
  <si>
    <t>5.</t>
  </si>
  <si>
    <t>Інші виплати працівникам, що не відносяться до ФОП, але відносяться до витрат на оплату праці</t>
  </si>
  <si>
    <t xml:space="preserve"> - оплата перших п'яти днів тимчасової непрацездатності</t>
  </si>
  <si>
    <t xml:space="preserve"> - відрахування на створення відпусток</t>
  </si>
  <si>
    <t xml:space="preserve"> - надбавки (польове забезпечення) до тарифних ставок i посадових окладів працівників, направлених для виконання монтажних, налагоджувальних, ремонтних i будівельних робіт</t>
  </si>
  <si>
    <t xml:space="preserve"> - інше.</t>
  </si>
  <si>
    <t>6.</t>
  </si>
  <si>
    <t>Виплати, що відносяться до ФОП, але не відносяться до витрат на оплату праці</t>
  </si>
  <si>
    <t xml:space="preserve"> - оплата праці працівників з виконання робіт з капіталізації підприємства (наприклад, транспортування, установка, монтаж, налагодження придбаних основних засобів власними силами)</t>
  </si>
  <si>
    <t xml:space="preserve"> - компенсаційні виплати працівникам, які постраждали від аварії на ЧАЕС</t>
  </si>
  <si>
    <t xml:space="preserve"> - витрати в розмірі страхових внесків підприємств на користь працівників, пов’язаних із добровільним страхуванням </t>
  </si>
  <si>
    <t xml:space="preserve"> - оплата праці працівників з виконання робіт, що визначаються продукцією власного виробництва для внутрішніх потреб підприємства</t>
  </si>
  <si>
    <t xml:space="preserve"> - прямі витрати на оплату праці, пов’язані з незавершеним виробництвом i виготовленням у звітному періоді готової продукції, однак не реалізованої в ньому</t>
  </si>
  <si>
    <t>7.</t>
  </si>
  <si>
    <t>Витрати на оплату праці, що відносяться до собівартості</t>
  </si>
  <si>
    <t>8.</t>
  </si>
  <si>
    <t>Витрати на оплату праці, що відносяться до адміністративних витрат</t>
  </si>
  <si>
    <t>9.</t>
  </si>
  <si>
    <t>Витрати на оплату праці, що відносяться до витрат на збут</t>
  </si>
  <si>
    <t>10.</t>
  </si>
  <si>
    <t>Витрати на оплату праці, що відносяться до інших операційних витрат</t>
  </si>
  <si>
    <t>Директор</t>
  </si>
  <si>
    <t>з них чисельність робочих основного виробництва</t>
  </si>
  <si>
    <t>з них фонд оплати праці робочих основного виробництва</t>
  </si>
  <si>
    <t>середньомісячна заробітна плата працівників основного виробництва</t>
  </si>
  <si>
    <t>з них середньомісячна заробітна плата робочих основного виробництва</t>
  </si>
  <si>
    <t>загальновиробничі</t>
  </si>
  <si>
    <t xml:space="preserve"> -електроенергія</t>
  </si>
  <si>
    <t>прямі витрати,  у т.ч.:</t>
  </si>
  <si>
    <t xml:space="preserve"> -ПММ,матеріали,ремонти</t>
  </si>
  <si>
    <t xml:space="preserve"> -з.пл.</t>
  </si>
  <si>
    <t xml:space="preserve"> -відрахування на з.пл.</t>
  </si>
  <si>
    <t xml:space="preserve"> -амортизаційні відрахування</t>
  </si>
  <si>
    <t xml:space="preserve"> -інші витрати</t>
  </si>
  <si>
    <t xml:space="preserve">адміністративні               </t>
  </si>
  <si>
    <t>витрати на збут</t>
  </si>
  <si>
    <t>Всього:</t>
  </si>
  <si>
    <t>ВОДОПОСТАЧАННЯ</t>
  </si>
  <si>
    <t>ВОДОВІДВЕДЕННЯ</t>
  </si>
  <si>
    <t>9.Дебіторська заборгованість*, всього</t>
  </si>
  <si>
    <t>6.Середня заробітна плата по підприємству</t>
  </si>
  <si>
    <t>1 кв.</t>
  </si>
  <si>
    <t>2 кв.</t>
  </si>
  <si>
    <t>3 кв.</t>
  </si>
  <si>
    <t>4 кв.</t>
  </si>
  <si>
    <t>- водопостачання (тис. грн.)</t>
  </si>
  <si>
    <t>- водовідведення (тис. грн.)</t>
  </si>
  <si>
    <t>Порівняльна характеристика економічних показників</t>
  </si>
  <si>
    <t>КП "Водоканал "ММРЗО</t>
  </si>
  <si>
    <t>Обсяг реалізації послуг з центрального  водовідведення (тис. м. куб.)</t>
  </si>
  <si>
    <t>у т.ч. з бюджету пільги, субсидії    (тис. грн.)</t>
  </si>
  <si>
    <t>Обсяг реалізації послуг з центрального  водопостачання (тис. м. куб.)</t>
  </si>
  <si>
    <t>* електроенергія (тис. грн.)</t>
  </si>
  <si>
    <t>* фонд оплати праці (тис. грн.)</t>
  </si>
  <si>
    <t>* ремонти (тис. грн.)</t>
  </si>
  <si>
    <t>витрати (по ф.2)</t>
  </si>
  <si>
    <t>Чистий прибуток  (збиток) (тис. грн.)</t>
  </si>
  <si>
    <t>Всього дохід ( по ф.2) по підприємству , без ПДВ (тис. грн.), у т.ч.:</t>
  </si>
  <si>
    <r>
      <t xml:space="preserve">Витрати всього ( по.ф.2) по підприємству </t>
    </r>
    <r>
      <rPr>
        <sz val="10"/>
        <rFont val="Times New Roman"/>
        <family val="1"/>
        <charset val="204"/>
      </rPr>
      <t>(тис. грн.)</t>
    </r>
    <r>
      <rPr>
        <b/>
        <sz val="10"/>
        <rFont val="Times New Roman"/>
        <family val="1"/>
        <charset val="204"/>
      </rPr>
      <t>, у т.ч.</t>
    </r>
  </si>
  <si>
    <t>норматив</t>
  </si>
  <si>
    <t>вода</t>
  </si>
  <si>
    <t>стоки</t>
  </si>
  <si>
    <t>очистка</t>
  </si>
  <si>
    <t>ср.з/плата работающих</t>
  </si>
  <si>
    <t>ср.з/плата по предприятию, всего</t>
  </si>
  <si>
    <t>- інші види діяльності (тис.грн.)</t>
  </si>
  <si>
    <t>- інші операційні доходи (тис.грн.)</t>
  </si>
  <si>
    <t>водопост</t>
  </si>
  <si>
    <t>перекачув.</t>
  </si>
  <si>
    <t>очищення</t>
  </si>
  <si>
    <t>- інші доходи (тис.грн.)</t>
  </si>
  <si>
    <t>Борги за надані послуги з  централізованого водопостачання та водовідведення,  всього (тис.грн.)</t>
  </si>
  <si>
    <t>приріст (зменшення)</t>
  </si>
  <si>
    <t>н.п.</t>
  </si>
  <si>
    <t>Немченко С.М.</t>
  </si>
  <si>
    <t>Адреса: м. Мелітополь, вул. Покровська, 100</t>
  </si>
  <si>
    <t>С.М.Немченко</t>
  </si>
  <si>
    <t>Відхилення +/- 
(гр.6-гр.5)</t>
  </si>
  <si>
    <t>чисельність апарату управління підприємства</t>
  </si>
  <si>
    <t>чисельність працівників основного виробництва</t>
  </si>
  <si>
    <t xml:space="preserve">по апарату управління підприємства </t>
  </si>
  <si>
    <t>Аєдінова Н.М., 421292</t>
  </si>
  <si>
    <t>вик.Зіненко Н.М..421363</t>
  </si>
  <si>
    <t>Термін дії контракту з 19.01.2018 до 01.11.2020</t>
  </si>
  <si>
    <t>год</t>
  </si>
  <si>
    <t xml:space="preserve"> - сума вихідної допомоги, матеріальної допомоги</t>
  </si>
  <si>
    <t>С.М. Немченко</t>
  </si>
  <si>
    <t>Комунальне підприємство   КП "Водоканал" Мелітопольської  міської ради   Мелітопольскої міської ради Запорізької області</t>
  </si>
  <si>
    <t xml:space="preserve">Зіненко Н.М.,421363  </t>
  </si>
  <si>
    <t>середньооблікова штатна числельність (чол.)</t>
  </si>
  <si>
    <t>середньомісячна заробітна плата працюючих без керівника(грн.)</t>
  </si>
  <si>
    <t>з/плата директора</t>
  </si>
  <si>
    <t>середньомісячна заробітна плата керівника, (грн.)*</t>
  </si>
  <si>
    <t>електроенергія в натуральних показниках  ( тис.кВт. год.)</t>
  </si>
  <si>
    <t>по КП "Водоканал" ММР ЗО 3 квартал 2019</t>
  </si>
  <si>
    <t>в т.ч.:</t>
  </si>
  <si>
    <t>фонд оплати праці працівників апарату управління підприємства</t>
  </si>
  <si>
    <t xml:space="preserve"> фонд оплати праці працівників основного виробництва</t>
  </si>
  <si>
    <t>РАЗОМ ВИТРАТ НА ОПЛАТУ ПРАЦІ</t>
  </si>
  <si>
    <t xml:space="preserve"> в т.ч.</t>
  </si>
  <si>
    <t>Зіненко Н.М., Адамовська А.В., тел. 42-13-63</t>
  </si>
  <si>
    <t>Закуплено основних засобів (тис. грн.) з ПДВ</t>
  </si>
  <si>
    <t>4 квартал 2018 р.
факт</t>
  </si>
  <si>
    <t>4 квартал 2019 р.
план</t>
  </si>
  <si>
    <t>4 квартал 
2019 р.
факт</t>
  </si>
  <si>
    <t>Звітний період (квартал, рік)   - 4 квартал 2019 року</t>
  </si>
  <si>
    <t>за 4 квартал 2019 року</t>
  </si>
  <si>
    <t>4 квартал   2018 року</t>
  </si>
  <si>
    <t>4 квартал   2019 року</t>
  </si>
  <si>
    <t>*у т.ч.премія 45663 грн.</t>
  </si>
  <si>
    <t>за 2019 рік</t>
  </si>
  <si>
    <t>середньомісячна заробітна плат. грн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</si>
</sst>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0"/>
  </numFmts>
  <fonts count="2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9" fillId="0" borderId="0" xfId="0" applyFont="1"/>
    <xf numFmtId="0" fontId="9" fillId="0" borderId="0" xfId="0" applyFont="1" applyFill="1"/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8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2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2" fillId="3" borderId="1" xfId="4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23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/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1" fontId="2" fillId="5" borderId="4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0" borderId="3" xfId="0" applyBorder="1"/>
    <xf numFmtId="0" fontId="19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21" fillId="0" borderId="0" xfId="0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9" fillId="0" borderId="0" xfId="0" applyFont="1" applyBorder="1"/>
    <xf numFmtId="164" fontId="0" fillId="0" borderId="0" xfId="0" applyNumberFormat="1" applyBorder="1"/>
    <xf numFmtId="164" fontId="19" fillId="0" borderId="0" xfId="0" applyNumberFormat="1" applyFont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2" fontId="0" fillId="0" borderId="0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4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25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3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164" fontId="13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vertical="center"/>
    </xf>
    <xf numFmtId="4" fontId="13" fillId="3" borderId="0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166" fontId="19" fillId="0" borderId="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/>
    </xf>
    <xf numFmtId="0" fontId="16" fillId="2" borderId="14" xfId="0" applyFont="1" applyFill="1" applyBorder="1" applyAlignment="1">
      <alignment vertical="center" wrapText="1"/>
    </xf>
    <xf numFmtId="165" fontId="3" fillId="2" borderId="14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16" fillId="6" borderId="14" xfId="0" applyFont="1" applyFill="1" applyBorder="1" applyAlignment="1">
      <alignment vertical="center" wrapText="1"/>
    </xf>
    <xf numFmtId="164" fontId="3" fillId="6" borderId="7" xfId="0" applyNumberFormat="1" applyFon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 vertical="center"/>
    </xf>
    <xf numFmtId="4" fontId="2" fillId="6" borderId="15" xfId="0" applyNumberFormat="1" applyFont="1" applyFill="1" applyBorder="1" applyAlignment="1">
      <alignment horizontal="center" vertical="center"/>
    </xf>
    <xf numFmtId="165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" fontId="3" fillId="6" borderId="14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">
    <cellStyle name="Обычный" xfId="0" builtinId="0"/>
    <cellStyle name="Обычный_План_2007_" xfId="1"/>
    <cellStyle name="Обычный_Пост117_ира" xfId="2"/>
    <cellStyle name="Обычный_таблиця по планам 2007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6;&#1090;&#1095;&#1077;&#1090;%20&#1076;&#1080;&#1088;&#1077;&#1082;&#1090;&#1086;&#1088;&#1072;/&#1086;&#1090;&#1095;&#1077;&#1090;%20&#1076;&#1080;&#1088;&#1077;&#1082;&#1090;&#1086;&#1088;&#1072;%202018/&#1054;&#1090;&#1095;&#1077;&#1090;%20&#1076;&#1080;&#1088;&#1077;&#1082;&#1090;&#1086;&#1088;&#1072;%202018/&#1054;&#1090;&#1095;&#1077;&#1090;_&#1076;&#1080;&#1088;&#1077;&#1082;&#1090;&#1086;&#1088;&#1072;%204%20&#1082;&#1074;.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порівн.х-ка"/>
      <sheetName val="зпл."/>
      <sheetName val="средняя зарплата"/>
    </sheetNames>
    <sheetDataSet>
      <sheetData sheetId="0"/>
      <sheetData sheetId="1"/>
      <sheetData sheetId="2">
        <row r="6">
          <cell r="E6">
            <v>424</v>
          </cell>
        </row>
        <row r="11">
          <cell r="E11">
            <v>8897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opLeftCell="A53" zoomScaleSheetLayoutView="100" workbookViewId="0">
      <selection activeCell="Z57" sqref="Z57"/>
    </sheetView>
  </sheetViews>
  <sheetFormatPr defaultRowHeight="13.2" outlineLevelRow="1"/>
  <cols>
    <col min="1" max="1" width="44.44140625" customWidth="1"/>
    <col min="2" max="2" width="7.6640625" customWidth="1"/>
    <col min="3" max="3" width="10.109375" style="10" customWidth="1"/>
    <col min="4" max="4" width="9.33203125" style="10" customWidth="1"/>
    <col min="5" max="5" width="10.109375" style="10" bestFit="1" customWidth="1"/>
    <col min="6" max="6" width="10.44140625" style="10" customWidth="1"/>
    <col min="7" max="7" width="8.6640625" style="10" customWidth="1"/>
    <col min="8" max="8" width="10.33203125" style="11" bestFit="1" customWidth="1"/>
    <col min="9" max="9" width="8.88671875" style="11" customWidth="1"/>
    <col min="10" max="10" width="9" style="11" customWidth="1"/>
    <col min="11" max="11" width="8.6640625" style="11" customWidth="1"/>
    <col min="12" max="12" width="8.88671875" style="11" customWidth="1"/>
    <col min="13" max="13" width="9.33203125" bestFit="1" customWidth="1"/>
    <col min="14" max="14" width="8.6640625" hidden="1" customWidth="1"/>
    <col min="15" max="15" width="9.33203125" hidden="1" customWidth="1"/>
    <col min="16" max="16" width="10.109375" hidden="1" customWidth="1"/>
    <col min="17" max="17" width="9.109375" hidden="1" customWidth="1"/>
    <col min="18" max="18" width="9.33203125" hidden="1" customWidth="1"/>
    <col min="19" max="19" width="10.6640625" hidden="1" customWidth="1"/>
    <col min="20" max="21" width="9.33203125" hidden="1" customWidth="1"/>
    <col min="22" max="22" width="9" customWidth="1"/>
    <col min="23" max="23" width="8.6640625" customWidth="1"/>
    <col min="24" max="24" width="8.33203125" customWidth="1"/>
    <col min="25" max="25" width="7.5546875" customWidth="1"/>
    <col min="26" max="26" width="8" customWidth="1"/>
    <col min="27" max="27" width="7.88671875" customWidth="1"/>
    <col min="28" max="28" width="7.6640625" customWidth="1"/>
    <col min="29" max="29" width="8.33203125" customWidth="1"/>
    <col min="30" max="30" width="7.6640625" customWidth="1"/>
    <col min="31" max="31" width="7.88671875" customWidth="1"/>
    <col min="32" max="32" width="4.33203125" customWidth="1"/>
    <col min="33" max="33" width="7.88671875" customWidth="1"/>
    <col min="34" max="34" width="4" customWidth="1"/>
    <col min="35" max="35" width="7.6640625" customWidth="1"/>
    <col min="36" max="36" width="4" customWidth="1"/>
    <col min="37" max="37" width="7.33203125" customWidth="1"/>
    <col min="38" max="38" width="4.5546875" customWidth="1"/>
    <col min="39" max="39" width="8" customWidth="1"/>
    <col min="40" max="40" width="3.6640625" customWidth="1"/>
  </cols>
  <sheetData>
    <row r="1" spans="1:29" ht="15.6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29" ht="13.8">
      <c r="A2" s="217" t="s">
        <v>31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29" ht="15.6">
      <c r="A3" s="1"/>
      <c r="B3" s="2"/>
      <c r="C3" s="2"/>
      <c r="D3" s="2"/>
      <c r="E3" s="2"/>
      <c r="F3" s="2"/>
      <c r="G3" s="2"/>
      <c r="H3" s="8"/>
      <c r="I3" s="8"/>
      <c r="J3" s="8"/>
      <c r="K3" s="8"/>
      <c r="L3" s="8"/>
    </row>
    <row r="4" spans="1:29" ht="15.6">
      <c r="A4" s="1" t="s">
        <v>1</v>
      </c>
      <c r="B4" s="232" t="s">
        <v>124</v>
      </c>
      <c r="C4" s="232"/>
      <c r="D4" s="232"/>
      <c r="E4" s="1"/>
      <c r="F4" s="1"/>
      <c r="G4" s="1"/>
      <c r="H4" s="8"/>
      <c r="I4" s="8"/>
      <c r="J4" s="8"/>
      <c r="K4" s="8"/>
      <c r="L4" s="8"/>
    </row>
    <row r="5" spans="1:29" ht="15.6">
      <c r="A5" s="1" t="s">
        <v>137</v>
      </c>
      <c r="B5" s="2"/>
      <c r="C5" s="2"/>
      <c r="D5" s="2"/>
      <c r="E5" s="2"/>
      <c r="F5" s="2"/>
      <c r="G5" s="2"/>
      <c r="H5" s="8"/>
      <c r="I5" s="8"/>
      <c r="J5" s="8"/>
      <c r="K5" s="8"/>
      <c r="L5" s="8"/>
    </row>
    <row r="6" spans="1:29" ht="15.6">
      <c r="A6" s="1" t="s">
        <v>125</v>
      </c>
      <c r="B6" s="2"/>
      <c r="C6" s="2"/>
      <c r="D6" s="2"/>
      <c r="E6" s="2"/>
      <c r="F6" s="2"/>
      <c r="G6" s="2"/>
      <c r="H6" s="8"/>
      <c r="I6" s="8"/>
      <c r="J6" s="8"/>
      <c r="K6" s="8"/>
      <c r="L6" s="8"/>
    </row>
    <row r="7" spans="1:29" ht="7.5" customHeight="1">
      <c r="A7" s="1" t="s">
        <v>2</v>
      </c>
      <c r="B7" s="2"/>
      <c r="C7" s="2"/>
      <c r="D7" s="2"/>
      <c r="E7" s="2"/>
      <c r="F7" s="2"/>
      <c r="G7" s="2"/>
      <c r="H7" s="8"/>
      <c r="I7" s="8"/>
      <c r="J7" s="8"/>
      <c r="K7" s="8"/>
      <c r="L7" s="8"/>
    </row>
    <row r="8" spans="1:29" ht="15.6">
      <c r="A8" s="9" t="s">
        <v>33</v>
      </c>
      <c r="B8" s="8"/>
      <c r="C8" s="2"/>
      <c r="D8" s="2"/>
      <c r="E8" s="2"/>
      <c r="F8" s="2"/>
      <c r="G8" s="2"/>
      <c r="H8" s="8"/>
      <c r="I8" s="8"/>
      <c r="J8" s="8"/>
      <c r="K8" s="8"/>
      <c r="L8" s="8"/>
    </row>
    <row r="9" spans="1:29" ht="15.6">
      <c r="A9" s="116" t="s">
        <v>133</v>
      </c>
      <c r="B9" s="2"/>
      <c r="C9" s="2"/>
      <c r="D9" s="2"/>
      <c r="E9" s="2"/>
      <c r="F9" s="2"/>
      <c r="G9" s="2"/>
      <c r="H9" s="8"/>
      <c r="I9" s="8"/>
      <c r="J9" s="8"/>
      <c r="K9" s="8"/>
      <c r="L9" s="8"/>
    </row>
    <row r="10" spans="1:29" ht="16.2">
      <c r="A10" s="2"/>
      <c r="B10" s="5" t="s">
        <v>155</v>
      </c>
      <c r="C10" s="6"/>
      <c r="D10" s="6"/>
      <c r="E10" s="6"/>
      <c r="F10" s="6"/>
      <c r="G10" s="6"/>
      <c r="H10" s="8"/>
      <c r="I10" s="8"/>
      <c r="J10" s="8"/>
      <c r="K10" s="8"/>
      <c r="L10" s="8"/>
    </row>
    <row r="11" spans="1:29" ht="6" customHeight="1">
      <c r="A11" s="1"/>
      <c r="B11" s="2"/>
      <c r="C11" s="2"/>
      <c r="D11" s="2"/>
      <c r="E11" s="2"/>
      <c r="F11" s="2"/>
      <c r="G11" s="2"/>
      <c r="H11" s="8"/>
      <c r="I11" s="8"/>
      <c r="J11" s="8"/>
      <c r="K11" s="8"/>
      <c r="L11" s="8"/>
    </row>
    <row r="12" spans="1:29" ht="15.75" customHeight="1">
      <c r="A12" s="218" t="s">
        <v>3</v>
      </c>
      <c r="B12" s="221" t="s">
        <v>4</v>
      </c>
      <c r="C12" s="224" t="s">
        <v>22</v>
      </c>
      <c r="D12" s="225"/>
      <c r="E12" s="225"/>
      <c r="F12" s="225"/>
      <c r="G12" s="226"/>
      <c r="H12" s="227" t="s">
        <v>23</v>
      </c>
      <c r="I12" s="228"/>
      <c r="J12" s="228"/>
      <c r="K12" s="228"/>
      <c r="L12" s="229"/>
    </row>
    <row r="13" spans="1:29" ht="15.75" customHeight="1">
      <c r="A13" s="219"/>
      <c r="B13" s="222"/>
      <c r="C13" s="224" t="s">
        <v>24</v>
      </c>
      <c r="D13" s="225"/>
      <c r="E13" s="225"/>
      <c r="F13" s="226"/>
      <c r="G13" s="218" t="s">
        <v>25</v>
      </c>
      <c r="H13" s="227" t="s">
        <v>5</v>
      </c>
      <c r="I13" s="228"/>
      <c r="J13" s="228"/>
      <c r="K13" s="229"/>
      <c r="L13" s="230" t="s">
        <v>25</v>
      </c>
    </row>
    <row r="14" spans="1:29" ht="15.6">
      <c r="A14" s="220"/>
      <c r="B14" s="223"/>
      <c r="C14" s="4">
        <v>1</v>
      </c>
      <c r="D14" s="4">
        <v>2</v>
      </c>
      <c r="E14" s="4">
        <v>3</v>
      </c>
      <c r="F14" s="4">
        <v>4</v>
      </c>
      <c r="G14" s="220"/>
      <c r="H14" s="7">
        <v>1</v>
      </c>
      <c r="I14" s="7">
        <v>2</v>
      </c>
      <c r="J14" s="7">
        <v>3</v>
      </c>
      <c r="K14" s="7">
        <v>4</v>
      </c>
      <c r="L14" s="231"/>
      <c r="P14" s="40"/>
      <c r="Q14" s="39" t="s">
        <v>91</v>
      </c>
      <c r="R14" s="39" t="s">
        <v>92</v>
      </c>
      <c r="S14" s="39" t="s">
        <v>93</v>
      </c>
      <c r="T14" s="39" t="s">
        <v>94</v>
      </c>
      <c r="U14" s="39"/>
      <c r="X14" s="37"/>
      <c r="Y14" s="37"/>
      <c r="Z14" s="88"/>
      <c r="AA14" s="88"/>
      <c r="AB14" s="88"/>
      <c r="AC14" s="88"/>
    </row>
    <row r="15" spans="1:29" ht="29.25" customHeight="1">
      <c r="A15" s="31" t="s">
        <v>6</v>
      </c>
      <c r="B15" s="32" t="s">
        <v>20</v>
      </c>
      <c r="C15" s="33">
        <v>20887.71</v>
      </c>
      <c r="D15" s="33">
        <v>21006.63</v>
      </c>
      <c r="E15" s="33">
        <v>21967.919999999998</v>
      </c>
      <c r="F15" s="33">
        <v>21452.85</v>
      </c>
      <c r="G15" s="33">
        <f>C15+D15+E15+F15</f>
        <v>85315.109999999986</v>
      </c>
      <c r="H15" s="33">
        <v>20246.654999999999</v>
      </c>
      <c r="I15" s="33">
        <v>21877.3</v>
      </c>
      <c r="J15" s="33">
        <v>23690.35</v>
      </c>
      <c r="K15" s="33">
        <v>24904.400000000001</v>
      </c>
      <c r="L15" s="33">
        <f>SUM(H15:K15)</f>
        <v>90718.704999999987</v>
      </c>
      <c r="M15" s="42"/>
      <c r="N15">
        <v>63182</v>
      </c>
      <c r="P15" s="40"/>
      <c r="Q15" s="39">
        <f>31+28+31</f>
        <v>90</v>
      </c>
      <c r="R15" s="39">
        <f>30+31+30</f>
        <v>91</v>
      </c>
      <c r="S15" s="39">
        <f>31+31+30</f>
        <v>92</v>
      </c>
      <c r="T15" s="39">
        <f>31+30+31</f>
        <v>92</v>
      </c>
      <c r="U15" s="39">
        <v>365</v>
      </c>
      <c r="X15" s="37"/>
      <c r="Y15" s="37"/>
      <c r="Z15" s="88"/>
      <c r="AA15" s="88"/>
      <c r="AB15" s="88"/>
      <c r="AC15" s="88"/>
    </row>
    <row r="16" spans="1:29" ht="15" customHeight="1">
      <c r="A16" s="31" t="s">
        <v>32</v>
      </c>
      <c r="B16" s="32" t="s">
        <v>20</v>
      </c>
      <c r="C16" s="33">
        <v>20.89</v>
      </c>
      <c r="D16" s="33">
        <v>10.97</v>
      </c>
      <c r="E16" s="33">
        <v>29.21</v>
      </c>
      <c r="F16" s="33">
        <v>22.17</v>
      </c>
      <c r="G16" s="33">
        <f t="shared" ref="G16:I16" si="0">G15-G23</f>
        <v>250.19999999998254</v>
      </c>
      <c r="H16" s="33">
        <f t="shared" si="0"/>
        <v>-118.79500000000189</v>
      </c>
      <c r="I16" s="33">
        <f t="shared" si="0"/>
        <v>462</v>
      </c>
      <c r="J16" s="33">
        <f>J15-J23</f>
        <v>841.14999999999782</v>
      </c>
      <c r="K16" s="33">
        <f>K15-K23</f>
        <v>2555</v>
      </c>
      <c r="L16" s="33">
        <f>L15-L23</f>
        <v>3739.3549999999814</v>
      </c>
      <c r="P16" s="61" t="s">
        <v>117</v>
      </c>
      <c r="Q16" s="62">
        <f>U16/365*90</f>
        <v>1645.3183561643834</v>
      </c>
      <c r="R16" s="62">
        <f>U16/365*91</f>
        <v>1663.5996712328767</v>
      </c>
      <c r="S16" s="62">
        <f>U16/365*92</f>
        <v>1681.8809863013698</v>
      </c>
      <c r="T16" s="62">
        <f>U16/365*92</f>
        <v>1681.8809863013698</v>
      </c>
      <c r="U16" s="63">
        <v>6672.68</v>
      </c>
      <c r="X16" s="37"/>
      <c r="Y16" s="37"/>
      <c r="Z16" s="88"/>
      <c r="AA16" s="102"/>
      <c r="AB16" s="102"/>
      <c r="AC16" s="102"/>
    </row>
    <row r="17" spans="1:42" ht="16.5" customHeight="1">
      <c r="A17" s="31" t="s">
        <v>7</v>
      </c>
      <c r="B17" s="32" t="s">
        <v>20</v>
      </c>
      <c r="C17" s="33">
        <v>62.63</v>
      </c>
      <c r="D17" s="33">
        <v>52.71</v>
      </c>
      <c r="E17" s="33">
        <v>70.95</v>
      </c>
      <c r="F17" s="33">
        <v>63.91</v>
      </c>
      <c r="G17" s="33">
        <f>C17+D17+E17+F17</f>
        <v>250.20000000000002</v>
      </c>
      <c r="H17" s="33">
        <f>H16</f>
        <v>-118.79500000000189</v>
      </c>
      <c r="I17" s="33">
        <f>I16</f>
        <v>462</v>
      </c>
      <c r="J17" s="33">
        <f>J16</f>
        <v>841.14999999999782</v>
      </c>
      <c r="K17" s="33">
        <f>K16</f>
        <v>2555</v>
      </c>
      <c r="L17" s="33">
        <f>SUM(H17:K17)</f>
        <v>3739.3549999999959</v>
      </c>
      <c r="M17" s="38"/>
      <c r="N17" s="37"/>
      <c r="P17" s="61" t="s">
        <v>118</v>
      </c>
      <c r="Q17" s="62">
        <f>U17/365*90</f>
        <v>931.27068493150693</v>
      </c>
      <c r="R17" s="62">
        <f>U17/365*91</f>
        <v>941.61813698630147</v>
      </c>
      <c r="S17" s="62">
        <f>U17/365*92</f>
        <v>951.965589041096</v>
      </c>
      <c r="T17" s="62">
        <f>U17/365*92</f>
        <v>951.965589041096</v>
      </c>
      <c r="U17" s="61">
        <v>3776.82</v>
      </c>
      <c r="X17" s="37"/>
      <c r="Y17" s="37"/>
      <c r="Z17" s="102"/>
      <c r="AA17" s="102"/>
      <c r="AB17" s="102"/>
      <c r="AC17" s="102"/>
    </row>
    <row r="18" spans="1:42" ht="15.75" customHeight="1">
      <c r="A18" s="235" t="s">
        <v>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7"/>
      <c r="L18" s="35"/>
      <c r="M18" s="42"/>
      <c r="P18" s="61" t="s">
        <v>119</v>
      </c>
      <c r="Q18" s="62">
        <f>U18/365*90</f>
        <v>931.27068493150693</v>
      </c>
      <c r="R18" s="62">
        <f>U18/365*91</f>
        <v>941.61813698630147</v>
      </c>
      <c r="S18" s="62">
        <f>U18/365*92</f>
        <v>951.965589041096</v>
      </c>
      <c r="T18" s="62">
        <f>U18/365*92</f>
        <v>951.965589041096</v>
      </c>
      <c r="U18" s="61">
        <v>3776.82</v>
      </c>
    </row>
    <row r="19" spans="1:42" ht="17.25" customHeight="1">
      <c r="A19" s="31" t="s">
        <v>9</v>
      </c>
      <c r="B19" s="32" t="s">
        <v>10</v>
      </c>
      <c r="C19" s="36">
        <f>Q16/90/55*100</f>
        <v>33.23875466998755</v>
      </c>
      <c r="D19" s="36">
        <f>R16/91/55*100</f>
        <v>33.23875466998755</v>
      </c>
      <c r="E19" s="36">
        <f>S16/92/55*100</f>
        <v>33.23875466998755</v>
      </c>
      <c r="F19" s="36">
        <f>T16/92/55*100</f>
        <v>33.23875466998755</v>
      </c>
      <c r="G19" s="36">
        <f>(C19+D19+E19+F19)/4</f>
        <v>33.23875466998755</v>
      </c>
      <c r="H19" s="36">
        <f>Q16/90/55*100</f>
        <v>33.23875466998755</v>
      </c>
      <c r="I19" s="36">
        <f>R16/91/55*100</f>
        <v>33.23875466998755</v>
      </c>
      <c r="J19" s="36">
        <f>S16/92/55*100</f>
        <v>33.23875466998755</v>
      </c>
      <c r="K19" s="36">
        <f>T16/92/55*100</f>
        <v>33.23875466998755</v>
      </c>
      <c r="L19" s="36">
        <f>(H19+I19+J19+K19)</f>
        <v>132.9550186799502</v>
      </c>
      <c r="P19" s="40" t="s">
        <v>109</v>
      </c>
      <c r="Q19" s="40" t="s">
        <v>110</v>
      </c>
      <c r="R19" s="58">
        <v>55</v>
      </c>
    </row>
    <row r="20" spans="1:42" ht="15.75" customHeight="1">
      <c r="A20" s="31" t="s">
        <v>11</v>
      </c>
      <c r="B20" s="32" t="s">
        <v>10</v>
      </c>
      <c r="C20" s="36">
        <f>Q17/90/63*100</f>
        <v>16.424527071102414</v>
      </c>
      <c r="D20" s="36">
        <f>R17/91/63*100</f>
        <v>16.424527071102414</v>
      </c>
      <c r="E20" s="36">
        <f>S17/92/63*100</f>
        <v>16.424527071102414</v>
      </c>
      <c r="F20" s="36">
        <f>T17/92/63*100</f>
        <v>16.424527071102414</v>
      </c>
      <c r="G20" s="36">
        <f>(C20+D20+E20+F20)/4</f>
        <v>16.424527071102414</v>
      </c>
      <c r="H20" s="36">
        <f>Q17/90/63*100</f>
        <v>16.424527071102414</v>
      </c>
      <c r="I20" s="36">
        <f>R17/91/63*100</f>
        <v>16.424527071102414</v>
      </c>
      <c r="J20" s="36">
        <f>S17/92/63*100</f>
        <v>16.424527071102414</v>
      </c>
      <c r="K20" s="36">
        <f>T17/92/63*100</f>
        <v>16.424527071102414</v>
      </c>
      <c r="L20" s="36">
        <f>(H20+I20+J20+K20)</f>
        <v>65.698108284409656</v>
      </c>
      <c r="P20" s="40"/>
      <c r="Q20" s="40" t="s">
        <v>111</v>
      </c>
      <c r="R20" s="58">
        <v>63</v>
      </c>
    </row>
    <row r="21" spans="1:42" ht="15" customHeight="1">
      <c r="A21" s="31" t="s">
        <v>12</v>
      </c>
      <c r="B21" s="32" t="s">
        <v>10</v>
      </c>
      <c r="C21" s="36">
        <f>Q18/65.1/90*100</f>
        <v>15.894703617195887</v>
      </c>
      <c r="D21" s="36">
        <f>R18/65.1/91*100</f>
        <v>15.894703617195885</v>
      </c>
      <c r="E21" s="36">
        <f>S18/65.1/92*100</f>
        <v>15.894703617195887</v>
      </c>
      <c r="F21" s="36">
        <f>T18/65.1/92*100</f>
        <v>15.894703617195887</v>
      </c>
      <c r="G21" s="36">
        <f>(C21+D21+E21+F21)/4</f>
        <v>15.894703617195887</v>
      </c>
      <c r="H21" s="36">
        <f>Q18/65.1/90*100</f>
        <v>15.894703617195887</v>
      </c>
      <c r="I21" s="36">
        <f>R18/65.1/91*100</f>
        <v>15.894703617195885</v>
      </c>
      <c r="J21" s="36">
        <f>S18/65.1/92*100</f>
        <v>15.894703617195887</v>
      </c>
      <c r="K21" s="36">
        <f>T18/65.1/92*100</f>
        <v>15.894703617195887</v>
      </c>
      <c r="L21" s="36">
        <f>(H21+I21+J21+K21)</f>
        <v>63.578814468783548</v>
      </c>
      <c r="P21" s="86"/>
      <c r="Q21" s="86" t="s">
        <v>112</v>
      </c>
      <c r="R21" s="87">
        <v>65.099999999999994</v>
      </c>
    </row>
    <row r="22" spans="1:42" ht="31.2">
      <c r="A22" s="44" t="s">
        <v>13</v>
      </c>
      <c r="B22" s="32" t="s">
        <v>10</v>
      </c>
      <c r="C22" s="45">
        <f>C17/C23</f>
        <v>3.0074314240329447E-3</v>
      </c>
      <c r="D22" s="45">
        <f>D17/D23</f>
        <v>2.515519769093325E-3</v>
      </c>
      <c r="E22" s="45">
        <f>E17/E23</f>
        <v>3.2401743254888691E-3</v>
      </c>
      <c r="F22" s="45">
        <f>F17/F23</f>
        <v>2.9879928598612179E-3</v>
      </c>
      <c r="G22" s="45">
        <f t="shared" ref="G22:L22" si="1">G17/G23</f>
        <v>2.9412833094163036E-3</v>
      </c>
      <c r="H22" s="45">
        <f>H17/H23</f>
        <v>-5.8331635195884154E-3</v>
      </c>
      <c r="I22" s="45">
        <f t="shared" si="1"/>
        <v>2.1573361101642284E-2</v>
      </c>
      <c r="J22" s="45">
        <f>J17/J23</f>
        <v>3.6813105054006173E-2</v>
      </c>
      <c r="K22" s="45">
        <f>K17/K23</f>
        <v>0.11432074239129461</v>
      </c>
      <c r="L22" s="45">
        <f t="shared" si="1"/>
        <v>4.2991296209962428E-2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2" ht="15" customHeight="1" outlineLevel="1">
      <c r="A23" s="46" t="s">
        <v>105</v>
      </c>
      <c r="B23" s="32" t="s">
        <v>20</v>
      </c>
      <c r="C23" s="33">
        <v>20825.080000000002</v>
      </c>
      <c r="D23" s="33">
        <v>20953.919999999998</v>
      </c>
      <c r="E23" s="33">
        <v>21896.97</v>
      </c>
      <c r="F23" s="33">
        <v>21388.94</v>
      </c>
      <c r="G23" s="33">
        <f>SUM(C23:F23)</f>
        <v>85064.91</v>
      </c>
      <c r="H23" s="33">
        <v>20365.45</v>
      </c>
      <c r="I23" s="47">
        <v>21415.3</v>
      </c>
      <c r="J23" s="47">
        <v>22849.200000000001</v>
      </c>
      <c r="K23" s="47">
        <v>22349.4</v>
      </c>
      <c r="L23" s="33">
        <f>SUM(H23:K23)</f>
        <v>86979.35</v>
      </c>
      <c r="M23" s="12"/>
      <c r="N23" s="37">
        <f>56288+2765+4262</f>
        <v>63315</v>
      </c>
      <c r="O23" s="37">
        <v>86979.199999999997</v>
      </c>
      <c r="P23" s="215">
        <f>O23-L23</f>
        <v>-0.15000000000873115</v>
      </c>
      <c r="Q23" s="37"/>
      <c r="R23" s="37"/>
      <c r="S23" s="37"/>
      <c r="T23" s="37"/>
      <c r="U23" s="37"/>
      <c r="V23" s="37"/>
      <c r="W23" s="37"/>
      <c r="X23" s="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</row>
    <row r="24" spans="1:42" ht="15.75" customHeight="1">
      <c r="A24" s="235" t="s">
        <v>28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N24" s="37"/>
      <c r="O24" s="37"/>
      <c r="P24" s="37"/>
      <c r="Q24" s="37"/>
      <c r="R24" s="37"/>
      <c r="S24" s="89"/>
      <c r="T24" s="37"/>
      <c r="U24" s="37"/>
      <c r="V24" s="37"/>
      <c r="W24" s="90"/>
      <c r="X24" s="90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</row>
    <row r="25" spans="1:42" ht="14.25" customHeight="1">
      <c r="A25" s="48" t="s">
        <v>87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N25" s="37"/>
      <c r="O25" s="37"/>
      <c r="P25" s="37"/>
      <c r="Q25" s="37"/>
      <c r="R25" s="37"/>
      <c r="S25" s="37"/>
      <c r="T25" s="37"/>
      <c r="U25" s="37"/>
      <c r="V25" s="88"/>
      <c r="W25" s="98"/>
      <c r="X25" s="98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99"/>
      <c r="AP25" s="99"/>
    </row>
    <row r="26" spans="1:42" ht="14.25" customHeight="1">
      <c r="A26" s="49" t="s">
        <v>86</v>
      </c>
      <c r="B26" s="32" t="s">
        <v>14</v>
      </c>
      <c r="C26" s="43">
        <f t="shared" ref="C26:K26" si="2">C34+C35+C36+C27</f>
        <v>10.083900000000002</v>
      </c>
      <c r="D26" s="43">
        <f t="shared" si="2"/>
        <v>10.083900000000002</v>
      </c>
      <c r="E26" s="43">
        <f t="shared" si="2"/>
        <v>10.083900000000002</v>
      </c>
      <c r="F26" s="43">
        <f t="shared" si="2"/>
        <v>10.083900000000002</v>
      </c>
      <c r="G26" s="43">
        <f t="shared" si="2"/>
        <v>10.083900000000002</v>
      </c>
      <c r="H26" s="43">
        <f t="shared" si="2"/>
        <v>10.350000000000001</v>
      </c>
      <c r="I26" s="43">
        <f t="shared" si="2"/>
        <v>10.440000000000001</v>
      </c>
      <c r="J26" s="43">
        <f t="shared" si="2"/>
        <v>10.58</v>
      </c>
      <c r="K26" s="43">
        <f t="shared" si="2"/>
        <v>10.3</v>
      </c>
      <c r="L26" s="43">
        <f>(H26+I26+J26+K26)/4</f>
        <v>10.4175</v>
      </c>
      <c r="N26" s="55"/>
      <c r="O26" s="37"/>
      <c r="P26" s="37"/>
      <c r="Q26" s="37"/>
      <c r="R26" s="37"/>
      <c r="S26" s="55"/>
      <c r="T26" s="37"/>
      <c r="U26" s="37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9"/>
      <c r="AP26" s="99"/>
    </row>
    <row r="27" spans="1:42" ht="15" customHeight="1">
      <c r="A27" s="48" t="s">
        <v>78</v>
      </c>
      <c r="B27" s="32" t="s">
        <v>14</v>
      </c>
      <c r="C27" s="50">
        <f t="shared" ref="C27:K27" si="3">SUM(C28:C33)</f>
        <v>7.2696000000000014</v>
      </c>
      <c r="D27" s="50">
        <f t="shared" si="3"/>
        <v>7.2696000000000014</v>
      </c>
      <c r="E27" s="50">
        <f t="shared" si="3"/>
        <v>7.2696000000000014</v>
      </c>
      <c r="F27" s="50">
        <f t="shared" si="3"/>
        <v>7.2696000000000014</v>
      </c>
      <c r="G27" s="50">
        <f t="shared" si="3"/>
        <v>7.2696000000000014</v>
      </c>
      <c r="H27" s="50">
        <f t="shared" si="3"/>
        <v>8.24</v>
      </c>
      <c r="I27" s="50">
        <f t="shared" si="3"/>
        <v>8.3800000000000008</v>
      </c>
      <c r="J27" s="50">
        <f t="shared" si="3"/>
        <v>8.57</v>
      </c>
      <c r="K27" s="50">
        <f t="shared" si="3"/>
        <v>7.95</v>
      </c>
      <c r="L27" s="50">
        <f t="shared" ref="L27:L36" si="4">(H27+I27+J27+K27)/4</f>
        <v>8.2850000000000001</v>
      </c>
      <c r="N27" s="92"/>
      <c r="O27" s="37"/>
      <c r="P27" s="37"/>
      <c r="Q27" s="37"/>
      <c r="R27" s="37"/>
      <c r="S27" s="92"/>
      <c r="T27" s="37"/>
      <c r="U27" s="37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9"/>
      <c r="AP27" s="99"/>
    </row>
    <row r="28" spans="1:42" ht="15" customHeight="1">
      <c r="A28" s="31" t="s">
        <v>77</v>
      </c>
      <c r="B28" s="32" t="s">
        <v>14</v>
      </c>
      <c r="C28" s="43">
        <v>3.9060000000000001</v>
      </c>
      <c r="D28" s="43">
        <f>C28</f>
        <v>3.9060000000000001</v>
      </c>
      <c r="E28" s="43">
        <f>C28</f>
        <v>3.9060000000000001</v>
      </c>
      <c r="F28" s="43">
        <f>C28</f>
        <v>3.9060000000000001</v>
      </c>
      <c r="G28" s="43">
        <f>C28</f>
        <v>3.9060000000000001</v>
      </c>
      <c r="H28" s="35">
        <v>4.1500000000000004</v>
      </c>
      <c r="I28" s="43">
        <v>4.2300000000000004</v>
      </c>
      <c r="J28" s="43">
        <v>4.42</v>
      </c>
      <c r="K28" s="43">
        <v>3.39</v>
      </c>
      <c r="L28" s="43">
        <f t="shared" si="4"/>
        <v>4.0475000000000003</v>
      </c>
      <c r="N28" s="37"/>
      <c r="O28" s="37"/>
      <c r="P28" s="37"/>
      <c r="Q28" s="37"/>
      <c r="R28" s="37"/>
      <c r="S28" s="37"/>
      <c r="T28" s="37"/>
      <c r="U28" s="37"/>
      <c r="V28" s="93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99"/>
      <c r="AP28" s="99"/>
    </row>
    <row r="29" spans="1:42" ht="15" customHeight="1">
      <c r="A29" s="31" t="s">
        <v>79</v>
      </c>
      <c r="B29" s="32" t="s">
        <v>14</v>
      </c>
      <c r="C29" s="43">
        <v>0.2009</v>
      </c>
      <c r="D29" s="43">
        <f t="shared" ref="D29:D36" si="5">C29</f>
        <v>0.2009</v>
      </c>
      <c r="E29" s="43">
        <f t="shared" ref="E29:E36" si="6">C29</f>
        <v>0.2009</v>
      </c>
      <c r="F29" s="43">
        <f t="shared" ref="F29:F36" si="7">C29</f>
        <v>0.2009</v>
      </c>
      <c r="G29" s="43">
        <f t="shared" ref="G29:G36" si="8">C29</f>
        <v>0.2009</v>
      </c>
      <c r="H29" s="35">
        <f>0.32+0.01+0.32</f>
        <v>0.65</v>
      </c>
      <c r="I29" s="43">
        <f>0.28+0.01+0.47</f>
        <v>0.76</v>
      </c>
      <c r="J29" s="43">
        <f>0.28+0.01+0.56</f>
        <v>0.85000000000000009</v>
      </c>
      <c r="K29" s="35">
        <v>1.01</v>
      </c>
      <c r="L29" s="43">
        <f t="shared" si="4"/>
        <v>0.81750000000000012</v>
      </c>
      <c r="N29" s="37"/>
      <c r="O29" s="37"/>
      <c r="P29" s="37"/>
      <c r="Q29" s="37"/>
      <c r="R29" s="37"/>
      <c r="S29" s="37"/>
      <c r="T29" s="37"/>
      <c r="U29" s="37"/>
      <c r="V29" s="93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99"/>
      <c r="AP29" s="99"/>
    </row>
    <row r="30" spans="1:42" ht="14.25" customHeight="1">
      <c r="A30" s="51" t="s">
        <v>80</v>
      </c>
      <c r="B30" s="32" t="s">
        <v>14</v>
      </c>
      <c r="C30" s="43">
        <v>2.1907999999999999</v>
      </c>
      <c r="D30" s="43">
        <f t="shared" si="5"/>
        <v>2.1907999999999999</v>
      </c>
      <c r="E30" s="43">
        <f t="shared" si="6"/>
        <v>2.1907999999999999</v>
      </c>
      <c r="F30" s="43">
        <f t="shared" si="7"/>
        <v>2.1907999999999999</v>
      </c>
      <c r="G30" s="43">
        <f t="shared" si="8"/>
        <v>2.1907999999999999</v>
      </c>
      <c r="H30" s="43">
        <v>1.8</v>
      </c>
      <c r="I30" s="43">
        <v>1.73</v>
      </c>
      <c r="J30" s="43">
        <f>1.68</f>
        <v>1.68</v>
      </c>
      <c r="K30" s="35">
        <v>1.82</v>
      </c>
      <c r="L30" s="43">
        <f t="shared" si="4"/>
        <v>1.7575000000000001</v>
      </c>
      <c r="N30" s="37"/>
      <c r="O30" s="37"/>
      <c r="P30" s="37"/>
      <c r="Q30" s="37"/>
      <c r="R30" s="37"/>
      <c r="S30" s="37"/>
      <c r="T30" s="37"/>
      <c r="U30" s="37"/>
      <c r="V30" s="93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99"/>
      <c r="AP30" s="99"/>
    </row>
    <row r="31" spans="1:42" ht="15.75" customHeight="1">
      <c r="A31" s="51" t="s">
        <v>81</v>
      </c>
      <c r="B31" s="32" t="s">
        <v>14</v>
      </c>
      <c r="C31" s="43">
        <v>0.48199999999999998</v>
      </c>
      <c r="D31" s="43">
        <f t="shared" si="5"/>
        <v>0.48199999999999998</v>
      </c>
      <c r="E31" s="43">
        <f t="shared" si="6"/>
        <v>0.48199999999999998</v>
      </c>
      <c r="F31" s="43">
        <f t="shared" si="7"/>
        <v>0.48199999999999998</v>
      </c>
      <c r="G31" s="43">
        <f t="shared" si="8"/>
        <v>0.48199999999999998</v>
      </c>
      <c r="H31" s="43">
        <v>0.39</v>
      </c>
      <c r="I31" s="43">
        <v>0.37</v>
      </c>
      <c r="J31" s="43">
        <f>0.36</f>
        <v>0.36</v>
      </c>
      <c r="K31" s="35">
        <v>0.39</v>
      </c>
      <c r="L31" s="43">
        <f t="shared" si="4"/>
        <v>0.37750000000000006</v>
      </c>
      <c r="N31" s="37"/>
      <c r="O31" s="37"/>
      <c r="P31" s="37"/>
      <c r="Q31" s="37"/>
      <c r="R31" s="37"/>
      <c r="S31" s="37"/>
      <c r="T31" s="37"/>
      <c r="U31" s="37"/>
      <c r="V31" s="93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99"/>
      <c r="AP31" s="99"/>
    </row>
    <row r="32" spans="1:42" ht="14.25" customHeight="1">
      <c r="A32" s="51" t="s">
        <v>82</v>
      </c>
      <c r="B32" s="32" t="s">
        <v>14</v>
      </c>
      <c r="C32" s="43">
        <v>0.33760000000000001</v>
      </c>
      <c r="D32" s="43">
        <f t="shared" si="5"/>
        <v>0.33760000000000001</v>
      </c>
      <c r="E32" s="43">
        <f t="shared" si="6"/>
        <v>0.33760000000000001</v>
      </c>
      <c r="F32" s="43">
        <f t="shared" si="7"/>
        <v>0.33760000000000001</v>
      </c>
      <c r="G32" s="43">
        <f t="shared" si="8"/>
        <v>0.33760000000000001</v>
      </c>
      <c r="H32" s="43">
        <v>0.51</v>
      </c>
      <c r="I32" s="43">
        <v>0.48</v>
      </c>
      <c r="J32" s="43">
        <f>0.47</f>
        <v>0.47</v>
      </c>
      <c r="K32" s="35">
        <v>0.56000000000000005</v>
      </c>
      <c r="L32" s="43">
        <f t="shared" si="4"/>
        <v>0.505</v>
      </c>
      <c r="N32" s="37"/>
      <c r="O32" s="37"/>
      <c r="P32" s="37"/>
      <c r="Q32" s="37"/>
      <c r="R32" s="37"/>
      <c r="S32" s="37"/>
      <c r="T32" s="37"/>
      <c r="U32" s="37"/>
      <c r="V32" s="93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99"/>
      <c r="AP32" s="99"/>
    </row>
    <row r="33" spans="1:42" ht="14.25" customHeight="1">
      <c r="A33" s="51" t="s">
        <v>83</v>
      </c>
      <c r="B33" s="32" t="s">
        <v>14</v>
      </c>
      <c r="C33" s="43">
        <v>0.15229999999999999</v>
      </c>
      <c r="D33" s="43">
        <f t="shared" si="5"/>
        <v>0.15229999999999999</v>
      </c>
      <c r="E33" s="43">
        <f t="shared" si="6"/>
        <v>0.15229999999999999</v>
      </c>
      <c r="F33" s="43">
        <f t="shared" si="7"/>
        <v>0.15229999999999999</v>
      </c>
      <c r="G33" s="43">
        <f t="shared" si="8"/>
        <v>0.15229999999999999</v>
      </c>
      <c r="H33" s="43">
        <v>0.74</v>
      </c>
      <c r="I33" s="43">
        <v>0.81</v>
      </c>
      <c r="J33" s="43">
        <f>0.79</f>
        <v>0.79</v>
      </c>
      <c r="K33" s="35">
        <v>0.78</v>
      </c>
      <c r="L33" s="43">
        <f t="shared" si="4"/>
        <v>0.78</v>
      </c>
      <c r="N33" s="37"/>
      <c r="O33" s="37"/>
      <c r="P33" s="37"/>
      <c r="Q33" s="37"/>
      <c r="R33" s="37"/>
      <c r="S33" s="37"/>
      <c r="T33" s="37"/>
      <c r="U33" s="37"/>
      <c r="V33" s="93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99"/>
      <c r="AP33" s="99"/>
    </row>
    <row r="34" spans="1:42" ht="14.25" customHeight="1">
      <c r="A34" s="48" t="s">
        <v>76</v>
      </c>
      <c r="B34" s="32" t="s">
        <v>14</v>
      </c>
      <c r="C34" s="50">
        <v>1.6203000000000001</v>
      </c>
      <c r="D34" s="50">
        <f t="shared" si="5"/>
        <v>1.6203000000000001</v>
      </c>
      <c r="E34" s="50">
        <f t="shared" si="6"/>
        <v>1.6203000000000001</v>
      </c>
      <c r="F34" s="50">
        <f t="shared" si="7"/>
        <v>1.6203000000000001</v>
      </c>
      <c r="G34" s="50">
        <f t="shared" si="8"/>
        <v>1.6203000000000001</v>
      </c>
      <c r="H34" s="117">
        <v>0.86</v>
      </c>
      <c r="I34" s="50">
        <v>0.89</v>
      </c>
      <c r="J34" s="50">
        <f>0.85</f>
        <v>0.85</v>
      </c>
      <c r="K34" s="117">
        <v>1.03</v>
      </c>
      <c r="L34" s="50">
        <f t="shared" si="4"/>
        <v>0.90749999999999997</v>
      </c>
      <c r="N34" s="37"/>
      <c r="O34" s="37"/>
      <c r="P34" s="37"/>
      <c r="Q34" s="37"/>
      <c r="R34" s="37"/>
      <c r="S34" s="37"/>
      <c r="T34" s="37"/>
      <c r="U34" s="37"/>
      <c r="V34" s="93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99"/>
      <c r="AP34" s="99"/>
    </row>
    <row r="35" spans="1:42" ht="14.25" customHeight="1">
      <c r="A35" s="48" t="s">
        <v>84</v>
      </c>
      <c r="B35" s="32" t="s">
        <v>14</v>
      </c>
      <c r="C35" s="50">
        <v>0.57620000000000005</v>
      </c>
      <c r="D35" s="50">
        <f t="shared" si="5"/>
        <v>0.57620000000000005</v>
      </c>
      <c r="E35" s="50">
        <f t="shared" si="6"/>
        <v>0.57620000000000005</v>
      </c>
      <c r="F35" s="50">
        <f t="shared" si="7"/>
        <v>0.57620000000000005</v>
      </c>
      <c r="G35" s="50">
        <f t="shared" si="8"/>
        <v>0.57620000000000005</v>
      </c>
      <c r="H35" s="117">
        <v>0.44</v>
      </c>
      <c r="I35" s="50">
        <v>0.48</v>
      </c>
      <c r="J35" s="50">
        <f>0.49</f>
        <v>0.49</v>
      </c>
      <c r="K35" s="117">
        <v>0.56000000000000005</v>
      </c>
      <c r="L35" s="50">
        <f t="shared" si="4"/>
        <v>0.49249999999999999</v>
      </c>
      <c r="N35" s="37"/>
      <c r="O35" s="37"/>
      <c r="P35" s="37"/>
      <c r="Q35" s="37"/>
      <c r="R35" s="37"/>
      <c r="S35" s="37"/>
      <c r="T35" s="37"/>
      <c r="U35" s="37"/>
      <c r="V35" s="93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99"/>
      <c r="AP35" s="99"/>
    </row>
    <row r="36" spans="1:42" ht="24" customHeight="1">
      <c r="A36" s="48" t="s">
        <v>85</v>
      </c>
      <c r="B36" s="32" t="s">
        <v>14</v>
      </c>
      <c r="C36" s="50">
        <v>0.61780000000000002</v>
      </c>
      <c r="D36" s="50">
        <f t="shared" si="5"/>
        <v>0.61780000000000002</v>
      </c>
      <c r="E36" s="50">
        <f t="shared" si="6"/>
        <v>0.61780000000000002</v>
      </c>
      <c r="F36" s="50">
        <f t="shared" si="7"/>
        <v>0.61780000000000002</v>
      </c>
      <c r="G36" s="50">
        <f t="shared" si="8"/>
        <v>0.61780000000000002</v>
      </c>
      <c r="H36" s="117">
        <v>0.81</v>
      </c>
      <c r="I36" s="50">
        <v>0.69</v>
      </c>
      <c r="J36" s="50">
        <f>0.67</f>
        <v>0.67</v>
      </c>
      <c r="K36" s="117">
        <v>0.76</v>
      </c>
      <c r="L36" s="50">
        <f t="shared" si="4"/>
        <v>0.73249999999999993</v>
      </c>
      <c r="N36" s="37"/>
      <c r="O36" s="37"/>
      <c r="P36" s="37"/>
      <c r="Q36" s="37"/>
      <c r="R36" s="37"/>
      <c r="S36" s="37"/>
      <c r="T36" s="37"/>
      <c r="U36" s="37"/>
      <c r="V36" s="93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99"/>
      <c r="AP36" s="99"/>
    </row>
    <row r="37" spans="1:42" ht="36" hidden="1" customHeight="1">
      <c r="A37" s="52"/>
      <c r="B37" s="53"/>
      <c r="C37" s="54"/>
      <c r="D37" s="54"/>
      <c r="E37" s="54"/>
      <c r="F37" s="54"/>
      <c r="G37" s="55"/>
      <c r="H37" s="54"/>
      <c r="I37" s="54"/>
      <c r="J37" s="54"/>
      <c r="K37" s="54"/>
      <c r="L37" s="54"/>
      <c r="N37" s="37"/>
      <c r="O37" s="37"/>
      <c r="P37" s="37"/>
      <c r="Q37" s="37"/>
      <c r="R37" s="37"/>
      <c r="S37" s="37"/>
      <c r="T37" s="37"/>
      <c r="U37" s="37"/>
      <c r="V37" s="37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99"/>
      <c r="AP37" s="99"/>
    </row>
    <row r="38" spans="1:42" ht="17.25" customHeight="1">
      <c r="A38" s="48" t="s">
        <v>88</v>
      </c>
      <c r="B38" s="32"/>
      <c r="C38" s="35"/>
      <c r="D38" s="35"/>
      <c r="E38" s="35"/>
      <c r="F38" s="35"/>
      <c r="G38" s="35"/>
      <c r="H38" s="35"/>
      <c r="I38" s="35"/>
      <c r="J38" s="35"/>
      <c r="K38" s="35"/>
      <c r="L38" s="35"/>
      <c r="N38" s="37"/>
      <c r="O38" s="37"/>
      <c r="P38" s="37"/>
      <c r="Q38" s="37"/>
      <c r="R38" s="37"/>
      <c r="S38" s="37"/>
      <c r="T38" s="37"/>
      <c r="U38" s="37"/>
      <c r="V38" s="37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99"/>
      <c r="AP38" s="99"/>
    </row>
    <row r="39" spans="1:42" ht="16.2">
      <c r="A39" s="49" t="s">
        <v>86</v>
      </c>
      <c r="B39" s="32" t="s">
        <v>14</v>
      </c>
      <c r="C39" s="157">
        <f>C40+C47+C48+C49</f>
        <v>11.453400000000002</v>
      </c>
      <c r="D39" s="157">
        <f>D40+D47+D48+D49</f>
        <v>11.453400000000002</v>
      </c>
      <c r="E39" s="157">
        <f>E40+E47+E48+E49</f>
        <v>11.453400000000002</v>
      </c>
      <c r="F39" s="157">
        <f>C39</f>
        <v>11.453400000000002</v>
      </c>
      <c r="G39" s="157">
        <f>G40+G47+G48+G49</f>
        <v>11.453400000000002</v>
      </c>
      <c r="H39" s="43">
        <f>H40+H47+H48+H49</f>
        <v>11.049999999999999</v>
      </c>
      <c r="I39" s="43">
        <f>I40+I47+I48+I49</f>
        <v>11.299999999999999</v>
      </c>
      <c r="J39" s="43">
        <f>J40+J47+J48+J49</f>
        <v>11.66</v>
      </c>
      <c r="K39" s="43">
        <f>K40+K47+K48+K49</f>
        <v>10.799999999999999</v>
      </c>
      <c r="L39" s="43">
        <f>(H39+I39+J39+K39)/4</f>
        <v>11.202499999999999</v>
      </c>
      <c r="N39" s="88"/>
      <c r="O39" s="88"/>
      <c r="P39" s="88"/>
      <c r="Q39" s="88"/>
      <c r="R39" s="59"/>
      <c r="S39" s="59"/>
      <c r="T39" s="59"/>
      <c r="U39" s="37"/>
      <c r="V39" s="59"/>
      <c r="W39" s="59"/>
      <c r="X39" s="59"/>
      <c r="Y39" s="37"/>
      <c r="Z39" s="59"/>
      <c r="AA39" s="59"/>
      <c r="AB39" s="59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2" ht="16.5" customHeight="1">
      <c r="A40" s="48" t="s">
        <v>78</v>
      </c>
      <c r="B40" s="32" t="s">
        <v>14</v>
      </c>
      <c r="C40" s="158">
        <f>SUM(C41:C46)</f>
        <v>8.4061000000000003</v>
      </c>
      <c r="D40" s="158">
        <f>SUM(D41:D46)</f>
        <v>8.4061000000000003</v>
      </c>
      <c r="E40" s="158">
        <f>SUM(E41:E46)</f>
        <v>8.4061000000000003</v>
      </c>
      <c r="F40" s="158">
        <f t="shared" ref="F40:F49" si="9">C40</f>
        <v>8.4061000000000003</v>
      </c>
      <c r="G40" s="158">
        <f>SUM(G41:G46)</f>
        <v>8.4061000000000003</v>
      </c>
      <c r="H40" s="50">
        <f>SUM(H41:H46)</f>
        <v>8.7799999999999994</v>
      </c>
      <c r="I40" s="50">
        <f>SUM(I41:I46)</f>
        <v>9.0299999999999994</v>
      </c>
      <c r="J40" s="50">
        <f>SUM(J41:J46)</f>
        <v>9.42</v>
      </c>
      <c r="K40" s="50">
        <f>SUM(K41:K46)</f>
        <v>8.27</v>
      </c>
      <c r="L40" s="50">
        <f t="shared" ref="L40:L49" si="10">(H40+I40+J40+K40)/4</f>
        <v>8.875</v>
      </c>
      <c r="N40" s="88"/>
      <c r="O40" s="88"/>
      <c r="P40" s="88"/>
      <c r="Q40" s="93"/>
      <c r="R40" s="59"/>
      <c r="S40" s="88"/>
      <c r="T40" s="59"/>
      <c r="U40" s="93"/>
      <c r="V40" s="59"/>
      <c r="W40" s="59"/>
      <c r="X40" s="59"/>
      <c r="Y40" s="95"/>
      <c r="Z40" s="59"/>
      <c r="AA40" s="59"/>
      <c r="AB40" s="59"/>
      <c r="AC40" s="95"/>
      <c r="AD40" s="96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2" ht="17.25" customHeight="1">
      <c r="A41" s="31" t="s">
        <v>77</v>
      </c>
      <c r="B41" s="32" t="s">
        <v>14</v>
      </c>
      <c r="C41" s="157">
        <v>1.9812000000000001</v>
      </c>
      <c r="D41" s="157">
        <f>C41</f>
        <v>1.9812000000000001</v>
      </c>
      <c r="E41" s="157">
        <f>C41</f>
        <v>1.9812000000000001</v>
      </c>
      <c r="F41" s="157">
        <f t="shared" si="9"/>
        <v>1.9812000000000001</v>
      </c>
      <c r="G41" s="157">
        <f>C41</f>
        <v>1.9812000000000001</v>
      </c>
      <c r="H41" s="35">
        <v>2.2599999999999998</v>
      </c>
      <c r="I41" s="43">
        <v>2.0699999999999998</v>
      </c>
      <c r="J41" s="43">
        <v>2.1800000000000002</v>
      </c>
      <c r="K41" s="35">
        <v>1.87</v>
      </c>
      <c r="L41" s="43">
        <f t="shared" si="10"/>
        <v>2.0949999999999998</v>
      </c>
      <c r="M41" s="60"/>
      <c r="N41" s="94"/>
      <c r="O41" s="94"/>
      <c r="P41" s="94"/>
      <c r="Q41" s="93"/>
      <c r="R41" s="94"/>
      <c r="S41" s="94"/>
      <c r="T41" s="94"/>
      <c r="U41" s="93"/>
      <c r="V41" s="94"/>
      <c r="W41" s="94"/>
      <c r="X41" s="94"/>
      <c r="Y41" s="97"/>
      <c r="Z41" s="94"/>
      <c r="AA41" s="94"/>
      <c r="AB41" s="94"/>
      <c r="AC41" s="97"/>
      <c r="AD41" s="96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2" ht="15.75" customHeight="1">
      <c r="A42" s="31" t="s">
        <v>79</v>
      </c>
      <c r="B42" s="32" t="s">
        <v>14</v>
      </c>
      <c r="C42" s="157">
        <v>0.2928</v>
      </c>
      <c r="D42" s="157">
        <f t="shared" ref="D42:D49" si="11">C42</f>
        <v>0.2928</v>
      </c>
      <c r="E42" s="157">
        <f t="shared" ref="E42:E49" si="12">C42</f>
        <v>0.2928</v>
      </c>
      <c r="F42" s="157">
        <f t="shared" si="9"/>
        <v>0.2928</v>
      </c>
      <c r="G42" s="157">
        <f t="shared" ref="G42:G49" si="13">C42</f>
        <v>0.2928</v>
      </c>
      <c r="H42" s="35">
        <f>0.55+0.04+0.58</f>
        <v>1.17</v>
      </c>
      <c r="I42" s="35">
        <v>1.06</v>
      </c>
      <c r="J42" s="35">
        <f>0.54+0.05+0.87</f>
        <v>1.46</v>
      </c>
      <c r="K42" s="35">
        <v>0.83</v>
      </c>
      <c r="L42" s="43">
        <f t="shared" si="10"/>
        <v>1.1299999999999999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2" ht="15.6">
      <c r="A43" s="51" t="s">
        <v>80</v>
      </c>
      <c r="B43" s="32" t="s">
        <v>14</v>
      </c>
      <c r="C43" s="157">
        <v>4.5415000000000001</v>
      </c>
      <c r="D43" s="157">
        <f t="shared" si="11"/>
        <v>4.5415000000000001</v>
      </c>
      <c r="E43" s="157">
        <f t="shared" si="12"/>
        <v>4.5415000000000001</v>
      </c>
      <c r="F43" s="157">
        <f t="shared" si="9"/>
        <v>4.5415000000000001</v>
      </c>
      <c r="G43" s="157">
        <f t="shared" si="13"/>
        <v>4.5415000000000001</v>
      </c>
      <c r="H43" s="43">
        <v>3.7</v>
      </c>
      <c r="I43" s="43">
        <v>4.17</v>
      </c>
      <c r="J43" s="43">
        <v>4.07</v>
      </c>
      <c r="K43" s="35">
        <v>3.84</v>
      </c>
      <c r="L43" s="43">
        <f t="shared" si="10"/>
        <v>3.9450000000000003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2" ht="15.75" customHeight="1">
      <c r="A44" s="51" t="s">
        <v>81</v>
      </c>
      <c r="B44" s="32" t="s">
        <v>14</v>
      </c>
      <c r="C44" s="157">
        <v>0.99909999999999999</v>
      </c>
      <c r="D44" s="157">
        <f t="shared" si="11"/>
        <v>0.99909999999999999</v>
      </c>
      <c r="E44" s="157">
        <f t="shared" si="12"/>
        <v>0.99909999999999999</v>
      </c>
      <c r="F44" s="157">
        <f t="shared" si="9"/>
        <v>0.99909999999999999</v>
      </c>
      <c r="G44" s="157">
        <f t="shared" si="13"/>
        <v>0.99909999999999999</v>
      </c>
      <c r="H44" s="43">
        <v>0.81</v>
      </c>
      <c r="I44" s="43">
        <v>0.9</v>
      </c>
      <c r="J44" s="43">
        <v>0.87</v>
      </c>
      <c r="K44" s="35">
        <v>0.83</v>
      </c>
      <c r="L44" s="43">
        <f t="shared" si="10"/>
        <v>0.85250000000000004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2" ht="17.25" customHeight="1">
      <c r="A45" s="51" t="s">
        <v>82</v>
      </c>
      <c r="B45" s="32" t="s">
        <v>14</v>
      </c>
      <c r="C45" s="157">
        <v>0.32100000000000001</v>
      </c>
      <c r="D45" s="157">
        <f t="shared" si="11"/>
        <v>0.32100000000000001</v>
      </c>
      <c r="E45" s="157">
        <f t="shared" si="12"/>
        <v>0.32100000000000001</v>
      </c>
      <c r="F45" s="157">
        <f t="shared" si="9"/>
        <v>0.32100000000000001</v>
      </c>
      <c r="G45" s="157">
        <f t="shared" si="13"/>
        <v>0.32100000000000001</v>
      </c>
      <c r="H45" s="43">
        <v>0.62</v>
      </c>
      <c r="I45" s="43">
        <v>0.64</v>
      </c>
      <c r="J45" s="43">
        <v>0.64</v>
      </c>
      <c r="K45" s="35">
        <v>0.6</v>
      </c>
      <c r="L45" s="43">
        <f t="shared" si="10"/>
        <v>0.625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2" ht="17.25" customHeight="1">
      <c r="A46" s="51" t="s">
        <v>83</v>
      </c>
      <c r="B46" s="32" t="s">
        <v>14</v>
      </c>
      <c r="C46" s="157">
        <v>0.27050000000000002</v>
      </c>
      <c r="D46" s="157">
        <f t="shared" si="11"/>
        <v>0.27050000000000002</v>
      </c>
      <c r="E46" s="157">
        <f t="shared" si="12"/>
        <v>0.27050000000000002</v>
      </c>
      <c r="F46" s="157">
        <f t="shared" si="9"/>
        <v>0.27050000000000002</v>
      </c>
      <c r="G46" s="157">
        <f t="shared" si="13"/>
        <v>0.27050000000000002</v>
      </c>
      <c r="H46" s="43">
        <v>0.22</v>
      </c>
      <c r="I46" s="43">
        <v>0.19</v>
      </c>
      <c r="J46" s="43">
        <v>0.2</v>
      </c>
      <c r="K46" s="35">
        <v>0.3</v>
      </c>
      <c r="L46" s="43">
        <f t="shared" si="10"/>
        <v>0.22750000000000004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2" ht="18" customHeight="1">
      <c r="A47" s="48" t="s">
        <v>76</v>
      </c>
      <c r="B47" s="32" t="s">
        <v>14</v>
      </c>
      <c r="C47" s="158">
        <v>1.1833</v>
      </c>
      <c r="D47" s="158">
        <f t="shared" si="11"/>
        <v>1.1833</v>
      </c>
      <c r="E47" s="158">
        <f t="shared" si="12"/>
        <v>1.1833</v>
      </c>
      <c r="F47" s="158">
        <f t="shared" si="9"/>
        <v>1.1833</v>
      </c>
      <c r="G47" s="158">
        <f t="shared" si="13"/>
        <v>1.1833</v>
      </c>
      <c r="H47" s="117">
        <v>0.93</v>
      </c>
      <c r="I47" s="50">
        <v>0.98</v>
      </c>
      <c r="J47" s="50">
        <v>0.95</v>
      </c>
      <c r="K47" s="117">
        <v>1.1100000000000001</v>
      </c>
      <c r="L47" s="50">
        <f t="shared" si="10"/>
        <v>0.99250000000000016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2" ht="15.75" customHeight="1">
      <c r="A48" s="48" t="s">
        <v>84</v>
      </c>
      <c r="B48" s="32" t="s">
        <v>14</v>
      </c>
      <c r="C48" s="158">
        <v>0.62170000000000003</v>
      </c>
      <c r="D48" s="158">
        <f t="shared" si="11"/>
        <v>0.62170000000000003</v>
      </c>
      <c r="E48" s="158">
        <f t="shared" si="12"/>
        <v>0.62170000000000003</v>
      </c>
      <c r="F48" s="158">
        <f t="shared" si="9"/>
        <v>0.62170000000000003</v>
      </c>
      <c r="G48" s="158">
        <f t="shared" si="13"/>
        <v>0.62170000000000003</v>
      </c>
      <c r="H48" s="50">
        <v>0.47</v>
      </c>
      <c r="I48" s="50">
        <v>0.53</v>
      </c>
      <c r="J48" s="50">
        <v>0.54</v>
      </c>
      <c r="K48" s="50">
        <v>0.6</v>
      </c>
      <c r="L48" s="50">
        <f t="shared" si="10"/>
        <v>0.53500000000000003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12" ht="14.25" customHeight="1">
      <c r="A49" s="48" t="s">
        <v>85</v>
      </c>
      <c r="B49" s="32" t="s">
        <v>14</v>
      </c>
      <c r="C49" s="158">
        <f>0.5773+0.665</f>
        <v>1.2423000000000002</v>
      </c>
      <c r="D49" s="158">
        <f t="shared" si="11"/>
        <v>1.2423000000000002</v>
      </c>
      <c r="E49" s="158">
        <f t="shared" si="12"/>
        <v>1.2423000000000002</v>
      </c>
      <c r="F49" s="158">
        <f t="shared" si="9"/>
        <v>1.2423000000000002</v>
      </c>
      <c r="G49" s="158">
        <f t="shared" si="13"/>
        <v>1.2423000000000002</v>
      </c>
      <c r="H49" s="117">
        <v>0.87</v>
      </c>
      <c r="I49" s="50">
        <v>0.76</v>
      </c>
      <c r="J49" s="50">
        <v>0.75</v>
      </c>
      <c r="K49" s="117">
        <v>0.82</v>
      </c>
      <c r="L49" s="50">
        <f t="shared" si="10"/>
        <v>0.79999999999999993</v>
      </c>
    </row>
    <row r="50" spans="1:12" ht="18" customHeight="1">
      <c r="A50" s="31" t="s">
        <v>90</v>
      </c>
      <c r="B50" s="32" t="s">
        <v>14</v>
      </c>
      <c r="C50" s="159">
        <v>7797.9</v>
      </c>
      <c r="D50" s="159">
        <v>7797.9</v>
      </c>
      <c r="E50" s="159">
        <v>7797.9</v>
      </c>
      <c r="F50" s="159">
        <v>7797.9</v>
      </c>
      <c r="G50" s="157">
        <f>(C50+D50+E50+F50)/4</f>
        <v>7797.9</v>
      </c>
      <c r="H50" s="33">
        <v>6551.12</v>
      </c>
      <c r="I50" s="132">
        <v>6791.5</v>
      </c>
      <c r="J50" s="35">
        <v>7209.4</v>
      </c>
      <c r="K50" s="43">
        <f>зпл.!F16</f>
        <v>7665.7336726039021</v>
      </c>
      <c r="L50" s="43">
        <f>(H50+I50+J50+K50)/4</f>
        <v>7054.4384181509749</v>
      </c>
    </row>
    <row r="51" spans="1:12" ht="19.5" customHeight="1">
      <c r="A51" s="31" t="s">
        <v>15</v>
      </c>
      <c r="B51" s="32" t="s">
        <v>20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5">
        <v>0</v>
      </c>
      <c r="J51" s="35">
        <v>0</v>
      </c>
      <c r="K51" s="35">
        <v>0</v>
      </c>
      <c r="L51" s="43">
        <f t="shared" ref="L51:L52" si="14">H51</f>
        <v>0</v>
      </c>
    </row>
    <row r="52" spans="1:12" ht="15.6">
      <c r="A52" s="31" t="s">
        <v>16</v>
      </c>
      <c r="B52" s="32" t="s">
        <v>20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5">
        <v>0</v>
      </c>
      <c r="I52" s="35">
        <v>0</v>
      </c>
      <c r="J52" s="35">
        <v>0</v>
      </c>
      <c r="K52" s="35">
        <v>0</v>
      </c>
      <c r="L52" s="43">
        <f t="shared" si="14"/>
        <v>0</v>
      </c>
    </row>
    <row r="53" spans="1:12" ht="18" customHeight="1">
      <c r="A53" s="31" t="s">
        <v>17</v>
      </c>
      <c r="B53" s="32" t="s">
        <v>20</v>
      </c>
      <c r="C53" s="33">
        <v>97</v>
      </c>
      <c r="D53" s="33">
        <v>97</v>
      </c>
      <c r="E53" s="33">
        <v>97</v>
      </c>
      <c r="F53" s="33">
        <v>97</v>
      </c>
      <c r="G53" s="33">
        <v>97</v>
      </c>
      <c r="H53" s="34">
        <v>100.7</v>
      </c>
      <c r="I53" s="33">
        <v>31</v>
      </c>
      <c r="J53" s="35">
        <v>261</v>
      </c>
      <c r="K53" s="35">
        <v>83.1</v>
      </c>
      <c r="L53" s="36">
        <f>K53</f>
        <v>83.1</v>
      </c>
    </row>
    <row r="54" spans="1:12" ht="18" customHeight="1">
      <c r="A54" s="31" t="s">
        <v>18</v>
      </c>
      <c r="B54" s="32"/>
      <c r="C54" s="57"/>
      <c r="D54" s="57"/>
      <c r="E54" s="57"/>
      <c r="F54" s="57"/>
      <c r="G54" s="57"/>
      <c r="H54" s="33"/>
      <c r="I54" s="35"/>
      <c r="J54" s="35"/>
      <c r="K54" s="35"/>
      <c r="L54" s="36"/>
    </row>
    <row r="55" spans="1:12" ht="14.25" customHeight="1">
      <c r="A55" s="31" t="s">
        <v>19</v>
      </c>
      <c r="B55" s="32" t="s">
        <v>20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5">
        <v>0</v>
      </c>
      <c r="J55" s="35">
        <v>0</v>
      </c>
      <c r="K55" s="35">
        <v>0</v>
      </c>
      <c r="L55" s="36">
        <f t="shared" ref="L55:L60" si="15">J55</f>
        <v>0</v>
      </c>
    </row>
    <row r="56" spans="1:12" ht="16.5" customHeight="1">
      <c r="A56" s="31" t="s">
        <v>27</v>
      </c>
      <c r="B56" s="32" t="s">
        <v>20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5">
        <v>0</v>
      </c>
      <c r="J56" s="35">
        <v>0</v>
      </c>
      <c r="K56" s="35">
        <v>0</v>
      </c>
      <c r="L56" s="36">
        <f t="shared" si="15"/>
        <v>0</v>
      </c>
    </row>
    <row r="57" spans="1:12" ht="30.75" customHeight="1">
      <c r="A57" s="31" t="s">
        <v>30</v>
      </c>
      <c r="B57" s="32" t="s">
        <v>20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4">
        <v>6.2</v>
      </c>
      <c r="I57" s="33">
        <v>1.5</v>
      </c>
      <c r="J57" s="35">
        <v>1.4</v>
      </c>
      <c r="K57" s="35">
        <v>1.4</v>
      </c>
      <c r="L57" s="36">
        <f t="shared" si="15"/>
        <v>1.4</v>
      </c>
    </row>
    <row r="58" spans="1:12" ht="18.75" customHeight="1">
      <c r="A58" s="31" t="s">
        <v>34</v>
      </c>
      <c r="B58" s="32" t="s">
        <v>20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6">
        <v>0</v>
      </c>
      <c r="J58" s="35">
        <v>0</v>
      </c>
      <c r="K58" s="35">
        <v>0</v>
      </c>
      <c r="L58" s="36">
        <f t="shared" si="15"/>
        <v>0</v>
      </c>
    </row>
    <row r="59" spans="1:12" ht="18.75" customHeight="1">
      <c r="A59" s="31" t="s">
        <v>89</v>
      </c>
      <c r="B59" s="32" t="s">
        <v>20</v>
      </c>
      <c r="C59" s="33">
        <v>5364.7</v>
      </c>
      <c r="D59" s="33">
        <v>5364.7</v>
      </c>
      <c r="E59" s="33">
        <v>5364.7</v>
      </c>
      <c r="F59" s="33">
        <v>53674.7</v>
      </c>
      <c r="G59" s="33">
        <v>5364.7</v>
      </c>
      <c r="H59" s="33">
        <v>7335.4</v>
      </c>
      <c r="I59" s="33">
        <v>6907.2</v>
      </c>
      <c r="J59" s="35">
        <v>7628.3</v>
      </c>
      <c r="K59" s="35">
        <v>6994.5</v>
      </c>
      <c r="L59" s="36">
        <f>K59</f>
        <v>6994.5</v>
      </c>
    </row>
    <row r="60" spans="1:12" ht="31.5" customHeight="1">
      <c r="A60" s="31" t="s">
        <v>21</v>
      </c>
      <c r="B60" s="32" t="s">
        <v>20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5">
        <v>0</v>
      </c>
      <c r="I60" s="33">
        <v>0</v>
      </c>
      <c r="J60" s="35">
        <v>0</v>
      </c>
      <c r="K60" s="35">
        <v>0</v>
      </c>
      <c r="L60" s="36">
        <f t="shared" si="15"/>
        <v>0</v>
      </c>
    </row>
    <row r="61" spans="1:12" ht="6" customHeight="1">
      <c r="A61" s="56"/>
      <c r="B61" s="56"/>
      <c r="C61" s="56"/>
      <c r="D61" s="56"/>
      <c r="E61" s="56"/>
      <c r="F61" s="56"/>
      <c r="G61" s="56"/>
      <c r="H61" s="56"/>
      <c r="I61" s="56"/>
      <c r="J61" s="160"/>
      <c r="K61" s="160"/>
      <c r="L61" s="56"/>
    </row>
    <row r="62" spans="1:12" ht="14.25" customHeight="1">
      <c r="A62" s="3" t="s">
        <v>29</v>
      </c>
      <c r="B62" s="2"/>
      <c r="C62" s="2"/>
      <c r="D62" s="2"/>
      <c r="E62" s="2"/>
      <c r="F62" s="2"/>
      <c r="G62" s="2"/>
      <c r="H62" s="8"/>
      <c r="I62" s="8"/>
      <c r="J62" s="8"/>
      <c r="K62" s="8"/>
      <c r="L62" s="8"/>
    </row>
    <row r="63" spans="1:12" ht="15.6">
      <c r="A63" s="1"/>
      <c r="B63" s="2"/>
      <c r="C63" s="2"/>
      <c r="D63" s="2"/>
      <c r="E63" s="2"/>
      <c r="F63" s="2"/>
      <c r="G63" s="2"/>
      <c r="H63" s="8"/>
      <c r="I63" s="8"/>
      <c r="J63" s="8"/>
      <c r="K63" s="8"/>
      <c r="L63" s="8"/>
    </row>
    <row r="64" spans="1:12" ht="15.6">
      <c r="A64" s="1"/>
      <c r="B64" s="2"/>
      <c r="C64" s="2"/>
      <c r="D64" s="2"/>
      <c r="E64" s="2"/>
      <c r="F64" s="2"/>
      <c r="G64" s="2"/>
      <c r="H64" s="8"/>
      <c r="I64" s="8"/>
      <c r="J64" s="8"/>
      <c r="K64" s="8"/>
      <c r="L64" s="8"/>
    </row>
    <row r="65" spans="1:12" ht="15.6">
      <c r="A65" s="1" t="s">
        <v>26</v>
      </c>
      <c r="B65" s="2"/>
      <c r="C65" s="2"/>
      <c r="D65" s="2"/>
      <c r="E65" s="2"/>
      <c r="F65" s="2"/>
      <c r="G65" s="2"/>
      <c r="H65" s="8"/>
      <c r="I65" s="8"/>
      <c r="J65" s="8"/>
      <c r="K65" s="9" t="s">
        <v>126</v>
      </c>
      <c r="L65" s="8"/>
    </row>
    <row r="66" spans="1:12" ht="16.5" customHeight="1">
      <c r="A66" s="1"/>
      <c r="B66" s="2"/>
      <c r="C66" s="2"/>
      <c r="D66" s="2"/>
      <c r="E66" s="2"/>
      <c r="F66" s="2"/>
      <c r="G66" s="2"/>
      <c r="H66" s="8"/>
      <c r="I66" s="8"/>
      <c r="J66" s="8"/>
      <c r="K66" s="8"/>
      <c r="L66" s="8"/>
    </row>
    <row r="67" spans="1:12">
      <c r="A67" s="2" t="s">
        <v>131</v>
      </c>
      <c r="B67" s="2"/>
      <c r="C67" s="2"/>
      <c r="D67" s="2"/>
      <c r="E67" s="2"/>
      <c r="F67" s="2"/>
      <c r="G67" s="2"/>
      <c r="H67" s="8"/>
      <c r="I67" s="8"/>
      <c r="J67" s="8"/>
      <c r="K67" s="8"/>
      <c r="L67" s="8"/>
    </row>
    <row r="68" spans="1:12">
      <c r="A68" s="2" t="s">
        <v>138</v>
      </c>
      <c r="B68" s="2"/>
      <c r="C68" s="2"/>
      <c r="D68" s="2"/>
      <c r="E68" s="2"/>
      <c r="F68" s="2"/>
      <c r="G68" s="2"/>
      <c r="H68" s="8"/>
      <c r="I68" s="8"/>
      <c r="J68" s="8"/>
      <c r="K68" s="8"/>
      <c r="L68" s="8"/>
    </row>
  </sheetData>
  <mergeCells count="29">
    <mergeCell ref="A18:K18"/>
    <mergeCell ref="A24:L24"/>
    <mergeCell ref="AK23:AN23"/>
    <mergeCell ref="AK24:AL24"/>
    <mergeCell ref="AM24:AN24"/>
    <mergeCell ref="AG23:AJ23"/>
    <mergeCell ref="Y23:AB23"/>
    <mergeCell ref="AC23:AF23"/>
    <mergeCell ref="Y25:AB25"/>
    <mergeCell ref="AC25:AF25"/>
    <mergeCell ref="AG25:AJ25"/>
    <mergeCell ref="AK25:AN25"/>
    <mergeCell ref="AA24:AB24"/>
    <mergeCell ref="AE24:AF24"/>
    <mergeCell ref="AG24:AH24"/>
    <mergeCell ref="AI24:AJ24"/>
    <mergeCell ref="Y24:Z24"/>
    <mergeCell ref="AC24:AD24"/>
    <mergeCell ref="A1:L1"/>
    <mergeCell ref="A2:L2"/>
    <mergeCell ref="A12:A14"/>
    <mergeCell ref="B12:B14"/>
    <mergeCell ref="C12:G12"/>
    <mergeCell ref="H12:L12"/>
    <mergeCell ref="C13:F13"/>
    <mergeCell ref="G13:G14"/>
    <mergeCell ref="H13:K13"/>
    <mergeCell ref="L13:L14"/>
    <mergeCell ref="B4:D4"/>
  </mergeCells>
  <phoneticPr fontId="5" type="noConversion"/>
  <pageMargins left="0" right="0" top="0.35433070866141736" bottom="0" header="0.51181102362204722" footer="0.51181102362204722"/>
  <pageSetup paperSize="9" scale="99" fitToHeight="2" orientation="landscape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opLeftCell="A22" workbookViewId="0">
      <selection activeCell="R23" sqref="R23"/>
    </sheetView>
  </sheetViews>
  <sheetFormatPr defaultColWidth="9.109375" defaultRowHeight="13.2"/>
  <cols>
    <col min="1" max="1" width="57" style="71" customWidth="1"/>
    <col min="2" max="2" width="11.33203125" style="71" customWidth="1"/>
    <col min="3" max="3" width="11.6640625" style="71" customWidth="1"/>
    <col min="4" max="4" width="10" style="71" customWidth="1"/>
    <col min="5" max="5" width="7.33203125" style="71" customWidth="1"/>
    <col min="6" max="6" width="39.5546875" style="71" hidden="1" customWidth="1"/>
    <col min="7" max="7" width="12.33203125" style="71" hidden="1" customWidth="1"/>
    <col min="8" max="8" width="12" style="71" hidden="1" customWidth="1"/>
    <col min="9" max="9" width="9.88671875" style="71" hidden="1" customWidth="1"/>
    <col min="10" max="10" width="9.109375" style="71" hidden="1" customWidth="1"/>
    <col min="11" max="11" width="13.44140625" style="71" hidden="1" customWidth="1"/>
    <col min="12" max="16384" width="9.109375" style="71"/>
  </cols>
  <sheetData>
    <row r="1" spans="1:11" ht="21.75" customHeight="1">
      <c r="A1" s="242" t="s">
        <v>97</v>
      </c>
      <c r="B1" s="242"/>
      <c r="C1" s="242"/>
      <c r="D1" s="242"/>
      <c r="E1" s="242"/>
      <c r="F1" s="83"/>
      <c r="G1" s="83"/>
      <c r="H1" s="83"/>
    </row>
    <row r="2" spans="1:11" ht="17.25" customHeight="1">
      <c r="A2" s="243" t="s">
        <v>98</v>
      </c>
      <c r="B2" s="243"/>
      <c r="C2" s="243"/>
      <c r="D2" s="243"/>
      <c r="E2" s="243"/>
      <c r="F2" s="83"/>
      <c r="G2" s="83"/>
      <c r="H2" s="83"/>
    </row>
    <row r="3" spans="1:11" ht="15.75" customHeight="1">
      <c r="A3" s="241" t="s">
        <v>156</v>
      </c>
      <c r="B3" s="241"/>
      <c r="C3" s="241"/>
      <c r="D3" s="241"/>
      <c r="E3" s="241"/>
      <c r="F3" s="83"/>
      <c r="G3" s="83"/>
      <c r="H3" s="83"/>
    </row>
    <row r="4" spans="1:11" ht="12.75" customHeight="1">
      <c r="A4" s="135"/>
      <c r="B4" s="135"/>
      <c r="C4" s="135"/>
      <c r="D4" s="135"/>
      <c r="E4" s="135"/>
      <c r="F4" s="83"/>
      <c r="G4" s="83"/>
      <c r="H4" s="83"/>
    </row>
    <row r="5" spans="1:11" ht="30" customHeight="1">
      <c r="A5" s="218" t="s">
        <v>3</v>
      </c>
      <c r="B5" s="218" t="s">
        <v>157</v>
      </c>
      <c r="C5" s="218" t="s">
        <v>158</v>
      </c>
      <c r="D5" s="246" t="s">
        <v>122</v>
      </c>
      <c r="E5" s="247"/>
      <c r="G5" s="184"/>
      <c r="H5" s="184"/>
      <c r="I5" s="184"/>
      <c r="J5" s="184"/>
      <c r="K5" s="184"/>
    </row>
    <row r="6" spans="1:11" ht="16.5" customHeight="1" thickBot="1">
      <c r="A6" s="219"/>
      <c r="B6" s="219"/>
      <c r="C6" s="219"/>
      <c r="D6" s="27" t="s">
        <v>123</v>
      </c>
      <c r="E6" s="27" t="s">
        <v>10</v>
      </c>
      <c r="G6" s="184"/>
      <c r="H6" s="184"/>
      <c r="I6" s="184"/>
      <c r="J6" s="184"/>
      <c r="K6" s="184"/>
    </row>
    <row r="7" spans="1:11" ht="27" thickBot="1">
      <c r="A7" s="201" t="s">
        <v>107</v>
      </c>
      <c r="B7" s="202">
        <f>B8+B9+B10+B11+B12</f>
        <v>20933.445800000001</v>
      </c>
      <c r="C7" s="203">
        <f>C8+C9+C10+C11+C12</f>
        <v>27651.354064000003</v>
      </c>
      <c r="D7" s="203">
        <f>C7-B7</f>
        <v>6717.9082640000015</v>
      </c>
      <c r="E7" s="204">
        <f t="shared" ref="E7:E22" si="0">C7/B7%</f>
        <v>132.09174604211603</v>
      </c>
      <c r="G7" s="184"/>
      <c r="H7" s="185"/>
      <c r="I7" s="185"/>
      <c r="J7" s="186"/>
      <c r="K7" s="184"/>
    </row>
    <row r="8" spans="1:11" ht="15.6">
      <c r="A8" s="136" t="s">
        <v>95</v>
      </c>
      <c r="B8" s="103">
        <v>11288.94</v>
      </c>
      <c r="C8" s="103">
        <v>13287.668580000003</v>
      </c>
      <c r="D8" s="103">
        <f>C8-B8</f>
        <v>1998.7285800000027</v>
      </c>
      <c r="E8" s="29">
        <f t="shared" si="0"/>
        <v>117.70519269302523</v>
      </c>
      <c r="G8" s="184"/>
      <c r="H8" s="187"/>
      <c r="I8" s="187"/>
      <c r="J8" s="188"/>
      <c r="K8" s="184"/>
    </row>
    <row r="9" spans="1:11" ht="15.6">
      <c r="A9" s="137" t="s">
        <v>96</v>
      </c>
      <c r="B9" s="104">
        <v>8033.48</v>
      </c>
      <c r="C9" s="104">
        <v>10159.206544000001</v>
      </c>
      <c r="D9" s="103">
        <f t="shared" ref="D9:D26" si="1">C9-B9</f>
        <v>2125.726544000001</v>
      </c>
      <c r="E9" s="29">
        <f t="shared" si="0"/>
        <v>126.46084317132799</v>
      </c>
      <c r="G9" s="184"/>
      <c r="H9" s="187"/>
      <c r="I9" s="187"/>
      <c r="J9" s="188"/>
      <c r="K9" s="184"/>
    </row>
    <row r="10" spans="1:11" ht="15.6">
      <c r="A10" s="138" t="s">
        <v>115</v>
      </c>
      <c r="B10" s="104">
        <v>354.32900000000001</v>
      </c>
      <c r="C10" s="104">
        <v>465.65699999999998</v>
      </c>
      <c r="D10" s="103">
        <f t="shared" si="1"/>
        <v>111.32799999999997</v>
      </c>
      <c r="E10" s="29">
        <f t="shared" si="0"/>
        <v>131.41938706682205</v>
      </c>
      <c r="G10" s="184"/>
      <c r="H10" s="187"/>
      <c r="I10" s="187"/>
      <c r="J10" s="188"/>
      <c r="K10" s="184"/>
    </row>
    <row r="11" spans="1:11" ht="15.6">
      <c r="A11" s="139" t="s">
        <v>116</v>
      </c>
      <c r="B11" s="105">
        <v>1051.2457999999999</v>
      </c>
      <c r="C11" s="105">
        <v>2857.4029999999998</v>
      </c>
      <c r="D11" s="103">
        <f t="shared" si="1"/>
        <v>1806.1571999999999</v>
      </c>
      <c r="E11" s="29">
        <f t="shared" si="0"/>
        <v>271.81112162350615</v>
      </c>
      <c r="G11" s="184"/>
      <c r="H11" s="189"/>
      <c r="I11" s="189"/>
      <c r="J11" s="188"/>
      <c r="K11" s="184"/>
    </row>
    <row r="12" spans="1:11" ht="15.6">
      <c r="A12" s="139" t="s">
        <v>120</v>
      </c>
      <c r="B12" s="105">
        <v>205.45099999999999</v>
      </c>
      <c r="C12" s="105">
        <v>881.41894000000002</v>
      </c>
      <c r="D12" s="103">
        <f t="shared" si="1"/>
        <v>675.96794</v>
      </c>
      <c r="E12" s="29">
        <f t="shared" si="0"/>
        <v>429.01662196825521</v>
      </c>
      <c r="G12" s="184"/>
      <c r="H12" s="189"/>
      <c r="I12" s="189"/>
      <c r="J12" s="188"/>
      <c r="K12" s="184"/>
    </row>
    <row r="13" spans="1:11" ht="15" customHeight="1">
      <c r="A13" s="140" t="s">
        <v>101</v>
      </c>
      <c r="B13" s="106">
        <v>1135.498</v>
      </c>
      <c r="C13" s="106">
        <v>1145.42362</v>
      </c>
      <c r="D13" s="107">
        <f t="shared" si="1"/>
        <v>9.9256199999999808</v>
      </c>
      <c r="E13" s="64">
        <f t="shared" si="0"/>
        <v>100.87412042997873</v>
      </c>
      <c r="G13" s="184"/>
      <c r="H13" s="187"/>
      <c r="I13" s="187"/>
      <c r="J13" s="184"/>
      <c r="K13" s="184"/>
    </row>
    <row r="14" spans="1:11" ht="18.75" customHeight="1" thickBot="1">
      <c r="A14" s="141" t="s">
        <v>99</v>
      </c>
      <c r="B14" s="108">
        <v>745.779</v>
      </c>
      <c r="C14" s="108">
        <v>809.22793000000001</v>
      </c>
      <c r="D14" s="109">
        <f t="shared" si="1"/>
        <v>63.448930000000018</v>
      </c>
      <c r="E14" s="65">
        <f t="shared" si="0"/>
        <v>108.50773888779383</v>
      </c>
      <c r="G14" s="184"/>
      <c r="H14" s="187"/>
      <c r="I14" s="187"/>
      <c r="J14" s="184"/>
      <c r="K14" s="184"/>
    </row>
    <row r="15" spans="1:11" ht="16.2" thickBot="1">
      <c r="A15" s="205" t="s">
        <v>108</v>
      </c>
      <c r="B15" s="206">
        <v>20979.557000000001</v>
      </c>
      <c r="C15" s="206">
        <v>22559.543000000001</v>
      </c>
      <c r="D15" s="207">
        <f t="shared" si="1"/>
        <v>1579.9860000000008</v>
      </c>
      <c r="E15" s="134">
        <f t="shared" si="0"/>
        <v>107.53107417854439</v>
      </c>
      <c r="G15" s="184"/>
      <c r="H15" s="185"/>
      <c r="I15" s="185"/>
      <c r="J15" s="184"/>
      <c r="K15" s="184"/>
    </row>
    <row r="16" spans="1:11" ht="15.6">
      <c r="A16" s="136" t="s">
        <v>102</v>
      </c>
      <c r="B16" s="170">
        <f>4237.6+1625</f>
        <v>5862.6</v>
      </c>
      <c r="C16" s="110">
        <v>5338.1935739199998</v>
      </c>
      <c r="D16" s="103">
        <f t="shared" si="1"/>
        <v>-524.40642608000053</v>
      </c>
      <c r="E16" s="29">
        <f t="shared" si="0"/>
        <v>91.055053626718504</v>
      </c>
      <c r="G16" s="184"/>
      <c r="H16" s="182"/>
      <c r="I16" s="182"/>
      <c r="J16" s="184"/>
      <c r="K16" s="184"/>
    </row>
    <row r="17" spans="1:11" ht="15.6">
      <c r="A17" s="142" t="s">
        <v>143</v>
      </c>
      <c r="B17" s="111">
        <v>2789.55</v>
      </c>
      <c r="C17" s="111">
        <v>2614.98</v>
      </c>
      <c r="D17" s="103">
        <f t="shared" si="1"/>
        <v>-174.57000000000016</v>
      </c>
      <c r="E17" s="29">
        <f t="shared" si="0"/>
        <v>93.742001398074947</v>
      </c>
      <c r="G17" s="184"/>
      <c r="H17" s="190"/>
      <c r="I17" s="190"/>
      <c r="J17" s="184"/>
      <c r="K17" s="184"/>
    </row>
    <row r="18" spans="1:11" ht="15.6">
      <c r="A18" s="137" t="s">
        <v>103</v>
      </c>
      <c r="B18" s="174">
        <f>[1]зпл.!E11</f>
        <v>8897</v>
      </c>
      <c r="C18" s="168">
        <f>зпл.!F11</f>
        <v>9037.9</v>
      </c>
      <c r="D18" s="103">
        <f t="shared" si="1"/>
        <v>140.89999999999964</v>
      </c>
      <c r="E18" s="29">
        <f t="shared" si="0"/>
        <v>101.58367989209846</v>
      </c>
      <c r="G18" s="184"/>
      <c r="H18" s="187"/>
      <c r="I18" s="187"/>
      <c r="J18" s="184"/>
      <c r="K18" s="184"/>
    </row>
    <row r="19" spans="1:11" ht="15.6">
      <c r="A19" s="139" t="s">
        <v>139</v>
      </c>
      <c r="B19" s="112">
        <f>[1]зпл.!E6</f>
        <v>424</v>
      </c>
      <c r="C19" s="169">
        <f>зпл.!F6</f>
        <v>393</v>
      </c>
      <c r="D19" s="113">
        <f t="shared" si="1"/>
        <v>-31</v>
      </c>
      <c r="E19" s="29">
        <f t="shared" si="0"/>
        <v>92.688679245283012</v>
      </c>
      <c r="G19" s="184"/>
      <c r="H19" s="191"/>
      <c r="I19" s="191"/>
      <c r="J19" s="184"/>
      <c r="K19" s="184"/>
    </row>
    <row r="20" spans="1:11" ht="16.5" customHeight="1">
      <c r="A20" s="139" t="s">
        <v>140</v>
      </c>
      <c r="B20" s="114">
        <f>(B18-101.098)/396/3*1000</f>
        <v>7403.9579124579122</v>
      </c>
      <c r="C20" s="114">
        <f>G42</f>
        <v>7670.9698299319725</v>
      </c>
      <c r="D20" s="103">
        <f t="shared" si="1"/>
        <v>267.01191747406028</v>
      </c>
      <c r="E20" s="29">
        <f t="shared" si="0"/>
        <v>103.60634029300445</v>
      </c>
      <c r="G20" s="184"/>
      <c r="H20" s="181"/>
      <c r="I20" s="181"/>
      <c r="J20" s="184"/>
      <c r="K20" s="184"/>
    </row>
    <row r="21" spans="1:11" ht="15.6">
      <c r="A21" s="139" t="s">
        <v>142</v>
      </c>
      <c r="B21" s="175">
        <v>33699</v>
      </c>
      <c r="C21" s="175">
        <v>56131</v>
      </c>
      <c r="D21" s="103">
        <f t="shared" si="1"/>
        <v>22432</v>
      </c>
      <c r="E21" s="29">
        <f t="shared" si="0"/>
        <v>166.56577346508797</v>
      </c>
      <c r="G21" s="184"/>
      <c r="H21" s="181"/>
      <c r="I21" s="181"/>
      <c r="J21" s="184"/>
      <c r="K21" s="184"/>
    </row>
    <row r="22" spans="1:11" ht="16.2" thickBot="1">
      <c r="A22" s="143" t="s">
        <v>104</v>
      </c>
      <c r="B22" s="176">
        <v>1706.5940000000001</v>
      </c>
      <c r="C22" s="41">
        <v>1294.241</v>
      </c>
      <c r="D22" s="115">
        <f t="shared" si="1"/>
        <v>-412.35300000000007</v>
      </c>
      <c r="E22" s="30">
        <f t="shared" si="0"/>
        <v>75.837662619228709</v>
      </c>
      <c r="G22" s="184"/>
      <c r="H22" s="192"/>
      <c r="I22" s="192"/>
      <c r="J22" s="184"/>
      <c r="K22" s="184"/>
    </row>
    <row r="23" spans="1:11" ht="16.2" thickBot="1">
      <c r="A23" s="208" t="s">
        <v>106</v>
      </c>
      <c r="B23" s="210">
        <f>B7-B15</f>
        <v>-46.111199999999371</v>
      </c>
      <c r="C23" s="212">
        <f>C7-C15</f>
        <v>5091.8110640000014</v>
      </c>
      <c r="D23" s="211">
        <f t="shared" si="1"/>
        <v>5137.9222640000007</v>
      </c>
      <c r="E23" s="214">
        <f>C23/B23%</f>
        <v>-11042.460538871404</v>
      </c>
      <c r="G23" s="184"/>
      <c r="H23" s="193"/>
      <c r="I23" s="193"/>
      <c r="J23" s="184"/>
      <c r="K23" s="184"/>
    </row>
    <row r="24" spans="1:11" ht="13.5" customHeight="1" thickBot="1">
      <c r="A24" s="208" t="s">
        <v>151</v>
      </c>
      <c r="B24" s="209">
        <v>107.5</v>
      </c>
      <c r="C24" s="213">
        <v>391.73599999999999</v>
      </c>
      <c r="D24" s="211">
        <f t="shared" si="1"/>
        <v>284.23599999999999</v>
      </c>
      <c r="E24" s="214">
        <f>C24/B24%</f>
        <v>364.40558139534886</v>
      </c>
      <c r="G24" s="184"/>
      <c r="H24" s="194"/>
      <c r="I24" s="194"/>
      <c r="J24" s="184"/>
      <c r="K24" s="184"/>
    </row>
    <row r="25" spans="1:11" ht="30" customHeight="1">
      <c r="A25" s="136" t="s">
        <v>121</v>
      </c>
      <c r="B25" s="177">
        <v>5551.7</v>
      </c>
      <c r="C25" s="133">
        <v>5439.9</v>
      </c>
      <c r="D25" s="103">
        <f t="shared" si="1"/>
        <v>-111.80000000000018</v>
      </c>
      <c r="E25" s="29">
        <f>C25/B25%</f>
        <v>97.986202424482585</v>
      </c>
      <c r="G25" s="184"/>
      <c r="H25" s="182"/>
      <c r="I25" s="182"/>
      <c r="J25" s="184"/>
      <c r="K25" s="184"/>
    </row>
    <row r="26" spans="1:11" ht="15.6">
      <c r="A26" s="137" t="s">
        <v>100</v>
      </c>
      <c r="B26" s="178">
        <f>303.1+133.1</f>
        <v>436.20000000000005</v>
      </c>
      <c r="C26" s="75">
        <v>0</v>
      </c>
      <c r="D26" s="103">
        <f t="shared" si="1"/>
        <v>-436.20000000000005</v>
      </c>
      <c r="E26" s="29">
        <f>C26/B26%</f>
        <v>0</v>
      </c>
      <c r="G26" s="184"/>
      <c r="H26" s="183"/>
      <c r="I26" s="183"/>
      <c r="J26" s="184"/>
      <c r="K26" s="184"/>
    </row>
    <row r="27" spans="1:11">
      <c r="A27" s="145"/>
      <c r="B27" s="28"/>
      <c r="C27" s="28"/>
      <c r="D27" s="28"/>
      <c r="E27" s="28"/>
    </row>
    <row r="28" spans="1:11" ht="12" customHeight="1">
      <c r="A28" s="245" t="s">
        <v>159</v>
      </c>
      <c r="B28" s="245"/>
      <c r="C28" s="245"/>
      <c r="D28" s="145"/>
    </row>
    <row r="29" spans="1:11" ht="12" customHeight="1">
      <c r="A29" s="179"/>
      <c r="B29" s="179"/>
      <c r="C29" s="179"/>
      <c r="D29" s="179"/>
    </row>
    <row r="30" spans="1:11" ht="12" customHeight="1">
      <c r="A30" s="195" t="s">
        <v>160</v>
      </c>
      <c r="B30" s="145"/>
      <c r="C30" s="145"/>
      <c r="D30" s="145"/>
      <c r="G30" s="196">
        <v>1</v>
      </c>
      <c r="H30" s="196">
        <v>2</v>
      </c>
      <c r="I30" s="196">
        <v>3</v>
      </c>
      <c r="J30" s="196">
        <v>4</v>
      </c>
      <c r="K30" s="164"/>
    </row>
    <row r="31" spans="1:11" ht="12" customHeight="1">
      <c r="A31" s="139" t="s">
        <v>161</v>
      </c>
      <c r="B31" s="248">
        <v>7095.4250000000002</v>
      </c>
      <c r="C31" s="248"/>
      <c r="D31" s="248"/>
      <c r="E31" s="248"/>
      <c r="G31" s="164">
        <v>6551.1</v>
      </c>
      <c r="H31" s="164">
        <v>6955.5</v>
      </c>
      <c r="I31" s="164">
        <v>7209.4</v>
      </c>
      <c r="J31" s="164">
        <v>7665.7</v>
      </c>
      <c r="K31" s="196">
        <f>(G31+H31+I31+J31)/4</f>
        <v>7095.4250000000002</v>
      </c>
    </row>
    <row r="32" spans="1:11" ht="12" customHeight="1">
      <c r="A32" s="139" t="s">
        <v>142</v>
      </c>
      <c r="B32" s="248">
        <v>45510.925000000003</v>
      </c>
      <c r="C32" s="248"/>
      <c r="D32" s="248"/>
      <c r="E32" s="248"/>
      <c r="G32" s="164">
        <v>36659.4</v>
      </c>
      <c r="H32" s="164">
        <v>37584.400000000001</v>
      </c>
      <c r="I32" s="164">
        <v>51668.9</v>
      </c>
      <c r="J32" s="164">
        <v>56131</v>
      </c>
      <c r="K32" s="196">
        <f t="shared" ref="K32:K33" si="2">(G32+H32+I32+J32)/4</f>
        <v>45510.925000000003</v>
      </c>
    </row>
    <row r="33" spans="1:17" ht="12" customHeight="1">
      <c r="A33" s="139" t="s">
        <v>140</v>
      </c>
      <c r="B33" s="248">
        <v>7060.25</v>
      </c>
      <c r="C33" s="248"/>
      <c r="D33" s="248"/>
      <c r="E33" s="248"/>
      <c r="G33" s="164">
        <v>6475.9</v>
      </c>
      <c r="H33" s="164">
        <v>7031.9</v>
      </c>
      <c r="I33" s="164">
        <v>7062.2</v>
      </c>
      <c r="J33" s="164">
        <v>7671</v>
      </c>
      <c r="K33" s="197">
        <f t="shared" si="2"/>
        <v>7060.25</v>
      </c>
    </row>
    <row r="34" spans="1:17" ht="12" customHeight="1">
      <c r="A34" s="198"/>
      <c r="B34" s="199"/>
      <c r="C34" s="199"/>
      <c r="D34" s="199"/>
      <c r="E34" s="199"/>
      <c r="G34" s="180">
        <f>G31-G33</f>
        <v>75.200000000000728</v>
      </c>
      <c r="H34" s="180">
        <f t="shared" ref="H34:K34" si="3">H31-H33</f>
        <v>-76.399999999999636</v>
      </c>
      <c r="I34" s="180">
        <f t="shared" si="3"/>
        <v>147.19999999999982</v>
      </c>
      <c r="J34" s="180">
        <f t="shared" si="3"/>
        <v>-5.3000000000001819</v>
      </c>
      <c r="K34" s="180">
        <f t="shared" si="3"/>
        <v>35.175000000000182</v>
      </c>
    </row>
    <row r="35" spans="1:17" ht="12" customHeight="1">
      <c r="A35" s="198"/>
      <c r="B35" s="199"/>
      <c r="C35" s="199"/>
      <c r="D35" s="199"/>
      <c r="E35" s="199"/>
      <c r="G35" s="180"/>
      <c r="H35" s="180"/>
      <c r="I35" s="180"/>
      <c r="J35" s="180"/>
      <c r="K35" s="200"/>
    </row>
    <row r="36" spans="1:17" ht="12" customHeight="1">
      <c r="A36" s="146"/>
      <c r="B36" s="146"/>
      <c r="C36" s="145"/>
      <c r="D36" s="145"/>
    </row>
    <row r="37" spans="1:17">
      <c r="A37" s="71" t="s">
        <v>71</v>
      </c>
      <c r="C37" s="244" t="s">
        <v>126</v>
      </c>
      <c r="D37" s="244"/>
      <c r="E37" s="244"/>
    </row>
    <row r="38" spans="1:17" ht="18">
      <c r="F38" s="240"/>
      <c r="G38" s="240"/>
      <c r="H38" s="240"/>
      <c r="I38" s="240"/>
      <c r="J38" s="240"/>
      <c r="K38" s="240"/>
    </row>
    <row r="39" spans="1:17" ht="18">
      <c r="A39" s="147"/>
      <c r="B39" s="147"/>
      <c r="C39" s="147"/>
      <c r="D39" s="147"/>
      <c r="E39" s="147"/>
      <c r="F39" s="240" t="s">
        <v>144</v>
      </c>
      <c r="G39" s="240"/>
      <c r="H39" s="240"/>
      <c r="I39" s="240"/>
      <c r="J39" s="240"/>
      <c r="K39" s="240"/>
    </row>
    <row r="40" spans="1:17" ht="18">
      <c r="A40" s="71" t="s">
        <v>132</v>
      </c>
      <c r="F40" s="148" t="s">
        <v>114</v>
      </c>
      <c r="G40" s="149">
        <f>зпл.!F16</f>
        <v>7665.7336726039021</v>
      </c>
      <c r="H40" s="150"/>
      <c r="I40" s="150"/>
      <c r="J40" s="150"/>
      <c r="K40" s="151"/>
    </row>
    <row r="41" spans="1:17" ht="18">
      <c r="F41" s="148" t="s">
        <v>141</v>
      </c>
      <c r="G41" s="152">
        <v>16839.48</v>
      </c>
      <c r="H41" s="150"/>
      <c r="I41" s="150"/>
      <c r="J41" s="150"/>
      <c r="K41" s="153"/>
    </row>
    <row r="42" spans="1:17" ht="17.399999999999999">
      <c r="F42" s="154" t="s">
        <v>113</v>
      </c>
      <c r="G42" s="155">
        <f>(C18*1000-G41)/392/3</f>
        <v>7670.9698299319725</v>
      </c>
      <c r="H42" s="153"/>
      <c r="I42" s="153"/>
      <c r="J42" s="153"/>
      <c r="K42" s="153"/>
      <c r="M42" s="144"/>
      <c r="Q42" s="144"/>
    </row>
    <row r="43" spans="1:17">
      <c r="F43" s="156"/>
      <c r="G43" s="156"/>
      <c r="H43" s="156"/>
      <c r="I43" s="156"/>
      <c r="J43" s="156"/>
      <c r="K43" s="156"/>
    </row>
    <row r="44" spans="1:17">
      <c r="F44" s="156"/>
      <c r="G44" s="156">
        <f>40.126*3</f>
        <v>120.37799999999999</v>
      </c>
      <c r="H44" s="156"/>
      <c r="I44" s="156"/>
      <c r="J44" s="156"/>
      <c r="K44" s="156"/>
    </row>
    <row r="45" spans="1:17">
      <c r="F45" s="156"/>
      <c r="G45" s="156">
        <f>6589</f>
        <v>6589</v>
      </c>
      <c r="H45" s="156"/>
      <c r="I45" s="156"/>
      <c r="J45" s="156"/>
      <c r="K45" s="156"/>
    </row>
    <row r="46" spans="1:17" ht="18">
      <c r="F46" s="239"/>
      <c r="G46" s="239"/>
      <c r="H46" s="239"/>
      <c r="I46" s="239"/>
      <c r="J46" s="239"/>
      <c r="K46" s="239"/>
    </row>
  </sheetData>
  <mergeCells count="15">
    <mergeCell ref="F46:K46"/>
    <mergeCell ref="F38:K38"/>
    <mergeCell ref="F39:K39"/>
    <mergeCell ref="A3:E3"/>
    <mergeCell ref="A1:E1"/>
    <mergeCell ref="A2:E2"/>
    <mergeCell ref="C37:E37"/>
    <mergeCell ref="A28:C28"/>
    <mergeCell ref="A5:A6"/>
    <mergeCell ref="B5:B6"/>
    <mergeCell ref="C5:C6"/>
    <mergeCell ref="D5:E5"/>
    <mergeCell ref="B31:E31"/>
    <mergeCell ref="B32:E32"/>
    <mergeCell ref="B33:E33"/>
  </mergeCells>
  <phoneticPr fontId="5" type="noConversion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view="pageBreakPreview" zoomScaleSheetLayoutView="100" workbookViewId="0">
      <selection activeCell="R10" sqref="R10"/>
    </sheetView>
  </sheetViews>
  <sheetFormatPr defaultColWidth="9.109375" defaultRowHeight="13.2"/>
  <cols>
    <col min="1" max="1" width="5" style="71" customWidth="1"/>
    <col min="2" max="2" width="62.88671875" style="71" customWidth="1"/>
    <col min="3" max="3" width="8.109375" style="71" customWidth="1"/>
    <col min="4" max="7" width="8.6640625" style="71" customWidth="1"/>
    <col min="8" max="8" width="9.109375" style="71"/>
    <col min="9" max="11" width="9.33203125" style="71" hidden="1" customWidth="1"/>
    <col min="12" max="13" width="10.5546875" style="71" hidden="1" customWidth="1"/>
    <col min="14" max="14" width="0" style="71" hidden="1" customWidth="1"/>
    <col min="15" max="17" width="9.33203125" style="71" bestFit="1" customWidth="1"/>
    <col min="18" max="16384" width="9.109375" style="71"/>
  </cols>
  <sheetData>
    <row r="1" spans="1:14" ht="15.6">
      <c r="A1" s="68"/>
      <c r="B1" s="69"/>
      <c r="C1" s="68"/>
      <c r="D1" s="68"/>
      <c r="E1" s="68"/>
      <c r="F1" s="68"/>
      <c r="G1" s="70" t="s">
        <v>35</v>
      </c>
    </row>
    <row r="2" spans="1:14" ht="15.75" customHeight="1">
      <c r="A2" s="249" t="s">
        <v>36</v>
      </c>
      <c r="B2" s="249"/>
      <c r="C2" s="249"/>
      <c r="D2" s="249"/>
      <c r="E2" s="249"/>
      <c r="F2" s="249"/>
      <c r="G2" s="249"/>
    </row>
    <row r="3" spans="1:14" ht="15.75" customHeight="1">
      <c r="A3" s="249" t="s">
        <v>37</v>
      </c>
      <c r="B3" s="249"/>
      <c r="C3" s="249"/>
      <c r="D3" s="249"/>
      <c r="E3" s="249"/>
      <c r="F3" s="249"/>
      <c r="G3" s="249"/>
    </row>
    <row r="4" spans="1:14" ht="7.5" customHeight="1">
      <c r="A4" s="171"/>
      <c r="B4" s="171"/>
      <c r="C4" s="171"/>
      <c r="D4" s="171"/>
      <c r="E4" s="171"/>
      <c r="F4" s="171"/>
      <c r="G4" s="171"/>
      <c r="J4" s="250">
        <v>2018</v>
      </c>
      <c r="K4" s="250"/>
      <c r="L4" s="250"/>
      <c r="M4" s="250"/>
      <c r="N4" s="250"/>
    </row>
    <row r="5" spans="1:14" ht="39.75" customHeight="1">
      <c r="A5" s="66" t="s">
        <v>38</v>
      </c>
      <c r="B5" s="66" t="s">
        <v>3</v>
      </c>
      <c r="C5" s="66" t="s">
        <v>39</v>
      </c>
      <c r="D5" s="67" t="s">
        <v>152</v>
      </c>
      <c r="E5" s="67" t="s">
        <v>153</v>
      </c>
      <c r="F5" s="67" t="s">
        <v>154</v>
      </c>
      <c r="G5" s="66" t="s">
        <v>127</v>
      </c>
      <c r="J5" s="118">
        <v>1</v>
      </c>
      <c r="K5" s="118">
        <v>2</v>
      </c>
      <c r="L5" s="118">
        <v>3</v>
      </c>
      <c r="M5" s="118">
        <v>4</v>
      </c>
      <c r="N5" s="118" t="s">
        <v>134</v>
      </c>
    </row>
    <row r="6" spans="1:14" ht="30.75" customHeight="1">
      <c r="A6" s="13" t="s">
        <v>40</v>
      </c>
      <c r="B6" s="14" t="s">
        <v>41</v>
      </c>
      <c r="C6" s="72" t="s">
        <v>42</v>
      </c>
      <c r="D6" s="73">
        <v>397</v>
      </c>
      <c r="E6" s="15">
        <v>393</v>
      </c>
      <c r="F6" s="73">
        <v>393</v>
      </c>
      <c r="G6" s="16">
        <f>F6-E6</f>
        <v>0</v>
      </c>
      <c r="J6" s="73">
        <v>419</v>
      </c>
      <c r="K6" s="73">
        <v>413</v>
      </c>
      <c r="L6" s="73">
        <v>398</v>
      </c>
      <c r="M6" s="73">
        <v>397</v>
      </c>
      <c r="N6" s="15"/>
    </row>
    <row r="7" spans="1:14" ht="12.75" customHeight="1">
      <c r="A7" s="13"/>
      <c r="B7" s="14" t="s">
        <v>145</v>
      </c>
      <c r="C7" s="74"/>
      <c r="D7" s="75"/>
      <c r="E7" s="161"/>
      <c r="F7" s="75"/>
      <c r="G7" s="18"/>
      <c r="J7" s="75"/>
      <c r="K7" s="75"/>
      <c r="L7" s="75"/>
      <c r="M7" s="75"/>
      <c r="N7" s="118"/>
    </row>
    <row r="8" spans="1:14" ht="15.6">
      <c r="A8" s="13"/>
      <c r="B8" s="25" t="s">
        <v>128</v>
      </c>
      <c r="C8" s="74" t="s">
        <v>42</v>
      </c>
      <c r="D8" s="75">
        <v>17</v>
      </c>
      <c r="E8" s="20">
        <v>20</v>
      </c>
      <c r="F8" s="75">
        <v>18</v>
      </c>
      <c r="G8" s="16">
        <f>F8-E8</f>
        <v>-2</v>
      </c>
      <c r="J8" s="75">
        <v>20</v>
      </c>
      <c r="K8" s="75">
        <v>20</v>
      </c>
      <c r="L8" s="75">
        <v>16</v>
      </c>
      <c r="M8" s="75">
        <v>17</v>
      </c>
      <c r="N8" s="118"/>
    </row>
    <row r="9" spans="1:14" ht="17.25" customHeight="1">
      <c r="A9" s="13"/>
      <c r="B9" s="26" t="s">
        <v>129</v>
      </c>
      <c r="C9" s="74" t="s">
        <v>42</v>
      </c>
      <c r="D9" s="75">
        <v>380</v>
      </c>
      <c r="E9" s="20">
        <v>372</v>
      </c>
      <c r="F9" s="75">
        <v>381</v>
      </c>
      <c r="G9" s="16">
        <f>F9-E9</f>
        <v>9</v>
      </c>
      <c r="J9" s="75">
        <v>399</v>
      </c>
      <c r="K9" s="75">
        <v>393</v>
      </c>
      <c r="L9" s="75">
        <v>378</v>
      </c>
      <c r="M9" s="75">
        <v>380</v>
      </c>
      <c r="N9" s="118"/>
    </row>
    <row r="10" spans="1:14" ht="16.5" customHeight="1">
      <c r="A10" s="17"/>
      <c r="B10" s="26" t="s">
        <v>72</v>
      </c>
      <c r="C10" s="74" t="s">
        <v>42</v>
      </c>
      <c r="D10" s="75">
        <v>313</v>
      </c>
      <c r="E10" s="20">
        <v>330</v>
      </c>
      <c r="F10" s="75">
        <v>316</v>
      </c>
      <c r="G10" s="16">
        <f>F10-E10</f>
        <v>-14</v>
      </c>
      <c r="J10" s="75">
        <v>330</v>
      </c>
      <c r="K10" s="75">
        <v>330</v>
      </c>
      <c r="L10" s="75">
        <v>302</v>
      </c>
      <c r="M10" s="75">
        <v>313</v>
      </c>
      <c r="N10" s="118"/>
    </row>
    <row r="11" spans="1:14" ht="18" customHeight="1">
      <c r="A11" s="13" t="s">
        <v>43</v>
      </c>
      <c r="B11" s="14" t="s">
        <v>44</v>
      </c>
      <c r="C11" s="72" t="s">
        <v>45</v>
      </c>
      <c r="D11" s="77">
        <v>7475.9</v>
      </c>
      <c r="E11" s="120">
        <f>9355.5-E21-E22</f>
        <v>9245.5</v>
      </c>
      <c r="F11" s="119">
        <v>9037.9</v>
      </c>
      <c r="G11" s="121">
        <f>F11-E11</f>
        <v>-207.60000000000036</v>
      </c>
      <c r="I11" s="76"/>
      <c r="J11" s="77">
        <v>6588.7</v>
      </c>
      <c r="K11" s="77">
        <v>6657.7</v>
      </c>
      <c r="L11" s="77">
        <v>6600.5</v>
      </c>
      <c r="M11" s="77">
        <v>7475.9</v>
      </c>
      <c r="N11" s="22"/>
    </row>
    <row r="12" spans="1:14" ht="12.75" customHeight="1">
      <c r="A12" s="13"/>
      <c r="B12" s="14" t="s">
        <v>145</v>
      </c>
      <c r="C12" s="72"/>
      <c r="D12" s="78"/>
      <c r="E12" s="161"/>
      <c r="F12" s="78"/>
      <c r="G12" s="18"/>
      <c r="J12" s="78"/>
      <c r="K12" s="78"/>
      <c r="L12" s="78"/>
      <c r="M12" s="78"/>
      <c r="N12" s="122"/>
    </row>
    <row r="13" spans="1:14" ht="18.75" customHeight="1">
      <c r="A13" s="13"/>
      <c r="B13" s="19" t="s">
        <v>146</v>
      </c>
      <c r="C13" s="74" t="s">
        <v>45</v>
      </c>
      <c r="D13" s="78">
        <v>565.9</v>
      </c>
      <c r="E13" s="124">
        <v>930</v>
      </c>
      <c r="F13" s="123">
        <v>821.5</v>
      </c>
      <c r="G13" s="121">
        <f>F13-E13</f>
        <v>-108.5</v>
      </c>
      <c r="I13" s="172">
        <v>44.9</v>
      </c>
      <c r="J13" s="78">
        <v>748.3</v>
      </c>
      <c r="K13" s="78">
        <v>552.70000000000005</v>
      </c>
      <c r="L13" s="78">
        <v>641.29999999999995</v>
      </c>
      <c r="M13" s="78">
        <v>565.9</v>
      </c>
      <c r="N13" s="122"/>
    </row>
    <row r="14" spans="1:14" ht="18.75" customHeight="1">
      <c r="A14" s="13"/>
      <c r="B14" s="21" t="s">
        <v>147</v>
      </c>
      <c r="C14" s="74" t="s">
        <v>45</v>
      </c>
      <c r="D14" s="78">
        <f>D11-D13</f>
        <v>6910</v>
      </c>
      <c r="E14" s="124">
        <f>E11-E13</f>
        <v>8315.5</v>
      </c>
      <c r="F14" s="123">
        <f>F11-F13</f>
        <v>8216.4</v>
      </c>
      <c r="G14" s="121">
        <f>F14-E14</f>
        <v>-99.100000000000364</v>
      </c>
      <c r="I14" s="173"/>
      <c r="J14" s="78">
        <f>J11-J13</f>
        <v>5840.4</v>
      </c>
      <c r="K14" s="78">
        <f>K11-K13</f>
        <v>6105</v>
      </c>
      <c r="L14" s="78">
        <f>L11-L13</f>
        <v>5959.2</v>
      </c>
      <c r="M14" s="78">
        <f>M11-M13</f>
        <v>6910</v>
      </c>
      <c r="N14" s="122"/>
    </row>
    <row r="15" spans="1:14" ht="18.75" customHeight="1">
      <c r="A15" s="17"/>
      <c r="B15" s="21" t="s">
        <v>73</v>
      </c>
      <c r="C15" s="74" t="s">
        <v>45</v>
      </c>
      <c r="D15" s="78">
        <v>5386.6</v>
      </c>
      <c r="E15" s="124">
        <v>6612.3</v>
      </c>
      <c r="F15" s="123">
        <v>6311.3</v>
      </c>
      <c r="G15" s="121">
        <f>F15-E15</f>
        <v>-301</v>
      </c>
      <c r="J15" s="78">
        <v>4547.5</v>
      </c>
      <c r="K15" s="78">
        <v>4726.7</v>
      </c>
      <c r="L15" s="78">
        <v>4621.7</v>
      </c>
      <c r="M15" s="78">
        <v>5386.6</v>
      </c>
      <c r="N15" s="122"/>
    </row>
    <row r="16" spans="1:14" ht="15.6">
      <c r="A16" s="13" t="s">
        <v>46</v>
      </c>
      <c r="B16" s="14" t="s">
        <v>47</v>
      </c>
      <c r="C16" s="72" t="s">
        <v>14</v>
      </c>
      <c r="D16" s="23">
        <f>D11/D6/3*1000</f>
        <v>6276.9941225860612</v>
      </c>
      <c r="E16" s="125">
        <f>E11/E6/3*1000</f>
        <v>7841.8150975402887</v>
      </c>
      <c r="F16" s="125">
        <f>F11/F6/3*1000</f>
        <v>7665.7336726039021</v>
      </c>
      <c r="G16" s="126">
        <f>F16-E16</f>
        <v>-176.08142493638661</v>
      </c>
      <c r="J16" s="23">
        <f>J11/J6/3*1000</f>
        <v>5241.607000795545</v>
      </c>
      <c r="K16" s="23">
        <f>K11/K6/3*1000</f>
        <v>5373.4463276836159</v>
      </c>
      <c r="L16" s="23">
        <f>L11/L6/3*1000</f>
        <v>5528.056951423785</v>
      </c>
      <c r="M16" s="23">
        <f>M11/M6/3*1000</f>
        <v>6276.9941225860612</v>
      </c>
      <c r="N16" s="23"/>
    </row>
    <row r="17" spans="1:15" ht="12.75" customHeight="1">
      <c r="A17" s="13"/>
      <c r="B17" s="14" t="s">
        <v>145</v>
      </c>
      <c r="C17" s="72"/>
      <c r="D17" s="75"/>
      <c r="E17" s="161"/>
      <c r="F17" s="75"/>
      <c r="G17" s="18"/>
      <c r="J17" s="75"/>
      <c r="K17" s="75"/>
      <c r="L17" s="75"/>
      <c r="M17" s="75"/>
      <c r="N17" s="122"/>
    </row>
    <row r="18" spans="1:15" ht="15.6">
      <c r="A18" s="13"/>
      <c r="B18" s="19" t="s">
        <v>130</v>
      </c>
      <c r="C18" s="74" t="s">
        <v>14</v>
      </c>
      <c r="D18" s="20">
        <f>D13/D8*1000/3</f>
        <v>11096.078431372551</v>
      </c>
      <c r="E18" s="127">
        <f>E13/E8*1000/3</f>
        <v>15500</v>
      </c>
      <c r="F18" s="127">
        <f>F13/F8*1000/3</f>
        <v>15212.962962962962</v>
      </c>
      <c r="G18" s="126">
        <f t="shared" ref="G18:G23" si="0">F18-E18</f>
        <v>-287.03703703703832</v>
      </c>
      <c r="J18" s="20">
        <f t="shared" ref="J18:M19" si="1">J13/J8*1000/3</f>
        <v>12471.666666666666</v>
      </c>
      <c r="K18" s="20">
        <f t="shared" si="1"/>
        <v>9211.6666666666661</v>
      </c>
      <c r="L18" s="20">
        <f t="shared" si="1"/>
        <v>13360.416666666666</v>
      </c>
      <c r="M18" s="20">
        <f t="shared" si="1"/>
        <v>11096.078431372551</v>
      </c>
      <c r="N18" s="20"/>
    </row>
    <row r="19" spans="1:15" ht="30" customHeight="1">
      <c r="A19" s="13"/>
      <c r="B19" s="21" t="s">
        <v>74</v>
      </c>
      <c r="C19" s="74" t="s">
        <v>14</v>
      </c>
      <c r="D19" s="20">
        <f>D14/D9*1000/3</f>
        <v>6061.4035087719303</v>
      </c>
      <c r="E19" s="127">
        <f t="shared" ref="E19" si="2">E14/E9*1000/3</f>
        <v>7451.1648745519706</v>
      </c>
      <c r="F19" s="127">
        <f>F14/F9*1000/3</f>
        <v>7188.4514435695537</v>
      </c>
      <c r="G19" s="126">
        <f t="shared" si="0"/>
        <v>-262.71343098241687</v>
      </c>
      <c r="J19" s="20">
        <f t="shared" si="1"/>
        <v>4879.1979949874685</v>
      </c>
      <c r="K19" s="20">
        <f t="shared" si="1"/>
        <v>5178.1170483460555</v>
      </c>
      <c r="L19" s="20">
        <f t="shared" si="1"/>
        <v>5255.0264550264546</v>
      </c>
      <c r="M19" s="20">
        <f t="shared" si="1"/>
        <v>6061.4035087719303</v>
      </c>
      <c r="N19" s="20"/>
    </row>
    <row r="20" spans="1:15" ht="30" customHeight="1">
      <c r="A20" s="17"/>
      <c r="B20" s="21" t="s">
        <v>75</v>
      </c>
      <c r="C20" s="74" t="s">
        <v>14</v>
      </c>
      <c r="D20" s="20">
        <f>D15/D10/3*1000</f>
        <v>5736.5282215122479</v>
      </c>
      <c r="E20" s="127">
        <f>E15/E10*1000/3</f>
        <v>6679.090909090909</v>
      </c>
      <c r="F20" s="127">
        <f>F15/F10/3*1000</f>
        <v>6657.489451476793</v>
      </c>
      <c r="G20" s="126">
        <f t="shared" si="0"/>
        <v>-21.601457614116043</v>
      </c>
      <c r="J20" s="20">
        <f>J15/J10/3*1000</f>
        <v>4593.4343434343436</v>
      </c>
      <c r="K20" s="20">
        <f>K15/K10/3*1000</f>
        <v>4774.4444444444434</v>
      </c>
      <c r="L20" s="20">
        <f>L15/L10/3*1000</f>
        <v>5101.2141280353198</v>
      </c>
      <c r="M20" s="20">
        <f>M15/M10/3*1000</f>
        <v>5736.5282215122479</v>
      </c>
      <c r="N20" s="20"/>
    </row>
    <row r="21" spans="1:15" ht="18" customHeight="1">
      <c r="A21" s="13" t="s">
        <v>48</v>
      </c>
      <c r="B21" s="14" t="s">
        <v>49</v>
      </c>
      <c r="C21" s="72" t="s">
        <v>45</v>
      </c>
      <c r="D21" s="77">
        <v>48</v>
      </c>
      <c r="E21" s="125">
        <v>50</v>
      </c>
      <c r="F21" s="128">
        <f>63.6+42.3</f>
        <v>105.9</v>
      </c>
      <c r="G21" s="126">
        <f t="shared" si="0"/>
        <v>55.900000000000006</v>
      </c>
      <c r="J21" s="77">
        <v>31.6</v>
      </c>
      <c r="K21" s="77">
        <v>60.4</v>
      </c>
      <c r="L21" s="77">
        <v>27.3</v>
      </c>
      <c r="M21" s="77">
        <v>48</v>
      </c>
      <c r="N21" s="20"/>
      <c r="O21" s="76"/>
    </row>
    <row r="22" spans="1:15" ht="31.2">
      <c r="A22" s="13" t="s">
        <v>50</v>
      </c>
      <c r="B22" s="14" t="s">
        <v>51</v>
      </c>
      <c r="C22" s="72" t="s">
        <v>45</v>
      </c>
      <c r="D22" s="23">
        <f>D23+D24+D25+D26</f>
        <v>46.1</v>
      </c>
      <c r="E22" s="125">
        <f>E23+E24+E25+E26</f>
        <v>60</v>
      </c>
      <c r="F22" s="125">
        <f>F23+F24+F25+F26</f>
        <v>155.30000000000001</v>
      </c>
      <c r="G22" s="126">
        <f t="shared" si="0"/>
        <v>95.300000000000011</v>
      </c>
      <c r="J22" s="23">
        <f>J23+J24+J25+J26</f>
        <v>51.8</v>
      </c>
      <c r="K22" s="23">
        <f>K23+K24+K25+K26</f>
        <v>70</v>
      </c>
      <c r="L22" s="23">
        <f>L23+L24+L25+L26</f>
        <v>43.5</v>
      </c>
      <c r="M22" s="23">
        <f>M23+M24+M25+M26</f>
        <v>46.1</v>
      </c>
      <c r="N22" s="20"/>
    </row>
    <row r="23" spans="1:15" ht="16.5" customHeight="1">
      <c r="A23" s="13"/>
      <c r="B23" s="79" t="s">
        <v>52</v>
      </c>
      <c r="C23" s="74" t="s">
        <v>45</v>
      </c>
      <c r="D23" s="78">
        <v>46.1</v>
      </c>
      <c r="E23" s="127">
        <v>60</v>
      </c>
      <c r="F23" s="129">
        <v>56.7</v>
      </c>
      <c r="G23" s="126">
        <f t="shared" si="0"/>
        <v>-3.2999999999999972</v>
      </c>
      <c r="J23" s="78">
        <v>51.8</v>
      </c>
      <c r="K23" s="78">
        <v>70</v>
      </c>
      <c r="L23" s="78">
        <v>43.5</v>
      </c>
      <c r="M23" s="78">
        <v>46.1</v>
      </c>
      <c r="N23" s="20"/>
    </row>
    <row r="24" spans="1:15" ht="16.5" customHeight="1">
      <c r="A24" s="13"/>
      <c r="B24" s="79" t="s">
        <v>53</v>
      </c>
      <c r="C24" s="74" t="s">
        <v>45</v>
      </c>
      <c r="D24" s="75">
        <v>0</v>
      </c>
      <c r="E24" s="124">
        <v>0</v>
      </c>
      <c r="F24" s="123">
        <v>0</v>
      </c>
      <c r="G24" s="162">
        <f>D24-E24</f>
        <v>0</v>
      </c>
      <c r="J24" s="75">
        <v>0</v>
      </c>
      <c r="K24" s="75">
        <v>0</v>
      </c>
      <c r="L24" s="75">
        <v>0</v>
      </c>
      <c r="M24" s="75">
        <v>0</v>
      </c>
      <c r="N24" s="122"/>
    </row>
    <row r="25" spans="1:15" ht="16.5" customHeight="1">
      <c r="A25" s="13"/>
      <c r="B25" s="79" t="s">
        <v>135</v>
      </c>
      <c r="C25" s="74" t="s">
        <v>45</v>
      </c>
      <c r="D25" s="75">
        <v>0</v>
      </c>
      <c r="E25" s="124">
        <v>0</v>
      </c>
      <c r="F25" s="123">
        <v>98.6</v>
      </c>
      <c r="G25" s="121">
        <f t="shared" ref="G25:G35" si="3">F25-E25</f>
        <v>98.6</v>
      </c>
      <c r="J25" s="75">
        <v>0</v>
      </c>
      <c r="K25" s="75">
        <v>0</v>
      </c>
      <c r="L25" s="75">
        <v>0</v>
      </c>
      <c r="M25" s="75">
        <v>0</v>
      </c>
      <c r="N25" s="20"/>
    </row>
    <row r="26" spans="1:15" ht="44.25" customHeight="1">
      <c r="A26" s="13"/>
      <c r="B26" s="79" t="s">
        <v>54</v>
      </c>
      <c r="C26" s="74" t="s">
        <v>45</v>
      </c>
      <c r="D26" s="75">
        <v>0</v>
      </c>
      <c r="E26" s="124">
        <v>0</v>
      </c>
      <c r="F26" s="123">
        <v>0</v>
      </c>
      <c r="G26" s="121">
        <f t="shared" si="3"/>
        <v>0</v>
      </c>
      <c r="J26" s="75">
        <v>0</v>
      </c>
      <c r="K26" s="75">
        <v>0</v>
      </c>
      <c r="L26" s="75">
        <v>0</v>
      </c>
      <c r="M26" s="75">
        <v>0</v>
      </c>
      <c r="N26" s="122"/>
    </row>
    <row r="27" spans="1:15" ht="16.5" customHeight="1">
      <c r="A27" s="13"/>
      <c r="B27" s="79" t="s">
        <v>55</v>
      </c>
      <c r="C27" s="74" t="s">
        <v>45</v>
      </c>
      <c r="D27" s="75">
        <v>0</v>
      </c>
      <c r="E27" s="124">
        <v>0</v>
      </c>
      <c r="F27" s="123">
        <v>0</v>
      </c>
      <c r="G27" s="121">
        <f t="shared" si="3"/>
        <v>0</v>
      </c>
      <c r="J27" s="75">
        <v>0</v>
      </c>
      <c r="K27" s="75">
        <v>0</v>
      </c>
      <c r="L27" s="75">
        <v>0</v>
      </c>
      <c r="M27" s="75">
        <v>0</v>
      </c>
      <c r="N27" s="122"/>
    </row>
    <row r="28" spans="1:15" ht="31.2">
      <c r="A28" s="13" t="s">
        <v>56</v>
      </c>
      <c r="B28" s="14" t="s">
        <v>57</v>
      </c>
      <c r="C28" s="72" t="s">
        <v>45</v>
      </c>
      <c r="D28" s="23">
        <f>SUM(D29:D34)</f>
        <v>0</v>
      </c>
      <c r="E28" s="161">
        <f>SUM(E29:E34)</f>
        <v>0</v>
      </c>
      <c r="F28" s="161">
        <f>SUM(F29:F34)</f>
        <v>0</v>
      </c>
      <c r="G28" s="121">
        <f t="shared" si="3"/>
        <v>0</v>
      </c>
      <c r="J28" s="23">
        <f>SUM(J29:J34)</f>
        <v>0</v>
      </c>
      <c r="K28" s="23">
        <f>SUM(K29:K34)</f>
        <v>0</v>
      </c>
      <c r="L28" s="23">
        <f>SUM(L29:L34)</f>
        <v>0</v>
      </c>
      <c r="M28" s="23">
        <f>SUM(M29:M34)</f>
        <v>0</v>
      </c>
      <c r="N28" s="130"/>
    </row>
    <row r="29" spans="1:15" ht="46.5" customHeight="1">
      <c r="A29" s="13"/>
      <c r="B29" s="80" t="s">
        <v>58</v>
      </c>
      <c r="C29" s="72"/>
      <c r="D29" s="75">
        <v>0</v>
      </c>
      <c r="E29" s="124">
        <v>0</v>
      </c>
      <c r="F29" s="123">
        <v>0</v>
      </c>
      <c r="G29" s="121">
        <f t="shared" si="3"/>
        <v>0</v>
      </c>
      <c r="J29" s="75">
        <v>0</v>
      </c>
      <c r="K29" s="75">
        <v>0</v>
      </c>
      <c r="L29" s="75">
        <v>0</v>
      </c>
      <c r="M29" s="75">
        <v>0</v>
      </c>
      <c r="N29" s="122"/>
    </row>
    <row r="30" spans="1:15" ht="27.6">
      <c r="A30" s="13"/>
      <c r="B30" s="80" t="s">
        <v>59</v>
      </c>
      <c r="C30" s="72"/>
      <c r="D30" s="75">
        <v>0</v>
      </c>
      <c r="E30" s="124">
        <v>0</v>
      </c>
      <c r="F30" s="123">
        <v>0</v>
      </c>
      <c r="G30" s="121">
        <f t="shared" si="3"/>
        <v>0</v>
      </c>
      <c r="J30" s="75">
        <v>0</v>
      </c>
      <c r="K30" s="75">
        <v>0</v>
      </c>
      <c r="L30" s="75">
        <v>0</v>
      </c>
      <c r="M30" s="75">
        <v>0</v>
      </c>
      <c r="N30" s="122"/>
    </row>
    <row r="31" spans="1:15" ht="28.5" customHeight="1">
      <c r="A31" s="13"/>
      <c r="B31" s="80" t="s">
        <v>60</v>
      </c>
      <c r="C31" s="72"/>
      <c r="D31" s="75">
        <v>0</v>
      </c>
      <c r="E31" s="124">
        <v>0</v>
      </c>
      <c r="F31" s="123">
        <v>0</v>
      </c>
      <c r="G31" s="121">
        <f t="shared" si="3"/>
        <v>0</v>
      </c>
      <c r="J31" s="75">
        <v>0</v>
      </c>
      <c r="K31" s="75">
        <v>0</v>
      </c>
      <c r="L31" s="75">
        <v>0</v>
      </c>
      <c r="M31" s="75">
        <v>0</v>
      </c>
      <c r="N31" s="122"/>
    </row>
    <row r="32" spans="1:15" ht="44.25" customHeight="1">
      <c r="A32" s="13"/>
      <c r="B32" s="80" t="s">
        <v>61</v>
      </c>
      <c r="C32" s="72"/>
      <c r="D32" s="75">
        <v>0</v>
      </c>
      <c r="E32" s="124">
        <v>0</v>
      </c>
      <c r="F32" s="123">
        <v>0</v>
      </c>
      <c r="G32" s="121">
        <f t="shared" si="3"/>
        <v>0</v>
      </c>
      <c r="J32" s="75">
        <v>0</v>
      </c>
      <c r="K32" s="75">
        <v>0</v>
      </c>
      <c r="L32" s="75">
        <v>0</v>
      </c>
      <c r="M32" s="75">
        <v>0</v>
      </c>
      <c r="N32" s="122"/>
    </row>
    <row r="33" spans="1:14" ht="44.25" customHeight="1">
      <c r="A33" s="13"/>
      <c r="B33" s="80" t="s">
        <v>62</v>
      </c>
      <c r="C33" s="72"/>
      <c r="D33" s="75">
        <v>0</v>
      </c>
      <c r="E33" s="124">
        <v>0</v>
      </c>
      <c r="F33" s="123">
        <v>0</v>
      </c>
      <c r="G33" s="121">
        <f t="shared" si="3"/>
        <v>0</v>
      </c>
      <c r="J33" s="75">
        <v>0</v>
      </c>
      <c r="K33" s="75">
        <v>0</v>
      </c>
      <c r="L33" s="75">
        <v>0</v>
      </c>
      <c r="M33" s="75">
        <v>0</v>
      </c>
      <c r="N33" s="122"/>
    </row>
    <row r="34" spans="1:14" ht="15.6">
      <c r="A34" s="13"/>
      <c r="B34" s="19" t="s">
        <v>55</v>
      </c>
      <c r="C34" s="72"/>
      <c r="D34" s="81">
        <v>0</v>
      </c>
      <c r="E34" s="124">
        <v>0</v>
      </c>
      <c r="F34" s="163">
        <v>0</v>
      </c>
      <c r="G34" s="121">
        <f t="shared" si="3"/>
        <v>0</v>
      </c>
      <c r="J34" s="81">
        <v>0</v>
      </c>
      <c r="K34" s="81">
        <v>0</v>
      </c>
      <c r="L34" s="81">
        <v>0</v>
      </c>
      <c r="M34" s="81">
        <v>0</v>
      </c>
      <c r="N34" s="122"/>
    </row>
    <row r="35" spans="1:14" ht="18" customHeight="1">
      <c r="A35" s="18"/>
      <c r="B35" s="24" t="s">
        <v>148</v>
      </c>
      <c r="C35" s="74" t="s">
        <v>45</v>
      </c>
      <c r="D35" s="23">
        <f>D11+D21+D22+D28</f>
        <v>7570</v>
      </c>
      <c r="E35" s="131">
        <f>E11+E21+E22+E28</f>
        <v>9355.5</v>
      </c>
      <c r="F35" s="131">
        <f>F11+F21+F22+F28</f>
        <v>9299.0999999999985</v>
      </c>
      <c r="G35" s="121">
        <f t="shared" si="3"/>
        <v>-56.400000000001455</v>
      </c>
      <c r="J35" s="23">
        <f>J11+J21+J22+J28</f>
        <v>6672.1</v>
      </c>
      <c r="K35" s="23">
        <f>K11+K21+K22+K28</f>
        <v>6788.0999999999995</v>
      </c>
      <c r="L35" s="23">
        <f>L11+L21+L22+L28</f>
        <v>6671.3</v>
      </c>
      <c r="M35" s="23">
        <f>M11+M21+M22+M28</f>
        <v>7570</v>
      </c>
      <c r="N35" s="23"/>
    </row>
    <row r="36" spans="1:14" ht="12.75" customHeight="1">
      <c r="A36" s="164"/>
      <c r="B36" s="165" t="s">
        <v>149</v>
      </c>
      <c r="C36" s="74"/>
      <c r="D36" s="166"/>
      <c r="E36" s="124"/>
      <c r="F36" s="167"/>
      <c r="G36" s="121"/>
      <c r="J36" s="166"/>
      <c r="K36" s="166"/>
      <c r="L36" s="166"/>
      <c r="M36" s="166"/>
      <c r="N36" s="122"/>
    </row>
    <row r="37" spans="1:14" ht="17.25" customHeight="1">
      <c r="A37" s="17" t="s">
        <v>63</v>
      </c>
      <c r="B37" s="19" t="s">
        <v>64</v>
      </c>
      <c r="C37" s="74" t="s">
        <v>45</v>
      </c>
      <c r="D37" s="20">
        <f>D11-D13-D39</f>
        <v>5916.9</v>
      </c>
      <c r="E37" s="124">
        <f>E11-E13-E39</f>
        <v>7460.2</v>
      </c>
      <c r="F37" s="124">
        <f>F11-F13-F39</f>
        <v>7070</v>
      </c>
      <c r="G37" s="121">
        <f>F37-E37</f>
        <v>-390.19999999999982</v>
      </c>
      <c r="J37" s="20">
        <f>J11-J13-J39</f>
        <v>4973.2999999999993</v>
      </c>
      <c r="K37" s="20">
        <f>K11-K13-K39</f>
        <v>5241.6000000000004</v>
      </c>
      <c r="L37" s="20">
        <f>L11-L13-L39</f>
        <v>5117</v>
      </c>
      <c r="M37" s="20">
        <f>M11-M13-M39</f>
        <v>5916.9</v>
      </c>
      <c r="N37" s="20"/>
    </row>
    <row r="38" spans="1:14" ht="15.75" customHeight="1">
      <c r="A38" s="17" t="s">
        <v>65</v>
      </c>
      <c r="B38" s="19" t="s">
        <v>66</v>
      </c>
      <c r="C38" s="74" t="s">
        <v>45</v>
      </c>
      <c r="D38" s="20">
        <f>D13</f>
        <v>565.9</v>
      </c>
      <c r="E38" s="124">
        <f>E13</f>
        <v>930</v>
      </c>
      <c r="F38" s="124">
        <f>F13</f>
        <v>821.5</v>
      </c>
      <c r="G38" s="121">
        <f>F38-E38</f>
        <v>-108.5</v>
      </c>
      <c r="J38" s="20">
        <f>J13</f>
        <v>748.3</v>
      </c>
      <c r="K38" s="20">
        <f>K13</f>
        <v>552.70000000000005</v>
      </c>
      <c r="L38" s="20">
        <f>L13</f>
        <v>641.29999999999995</v>
      </c>
      <c r="M38" s="20">
        <f>M13</f>
        <v>565.9</v>
      </c>
      <c r="N38" s="20"/>
    </row>
    <row r="39" spans="1:14" ht="16.5" customHeight="1">
      <c r="A39" s="17" t="s">
        <v>67</v>
      </c>
      <c r="B39" s="19" t="s">
        <v>68</v>
      </c>
      <c r="C39" s="74" t="s">
        <v>45</v>
      </c>
      <c r="D39" s="82">
        <f>786.8+206.3</f>
        <v>993.09999999999991</v>
      </c>
      <c r="E39" s="124">
        <v>855.3</v>
      </c>
      <c r="F39" s="123">
        <f>775+371.4</f>
        <v>1146.4000000000001</v>
      </c>
      <c r="G39" s="121">
        <f>F39-E39</f>
        <v>291.10000000000014</v>
      </c>
      <c r="J39" s="82">
        <v>867.1</v>
      </c>
      <c r="K39" s="82">
        <v>863.4</v>
      </c>
      <c r="L39" s="82">
        <f>680.9+161.3</f>
        <v>842.2</v>
      </c>
      <c r="M39" s="82">
        <f>786.8+206.3</f>
        <v>993.09999999999991</v>
      </c>
      <c r="N39" s="20"/>
    </row>
    <row r="40" spans="1:14" ht="31.5" customHeight="1">
      <c r="A40" s="17" t="s">
        <v>69</v>
      </c>
      <c r="B40" s="19" t="s">
        <v>70</v>
      </c>
      <c r="C40" s="74" t="s">
        <v>45</v>
      </c>
      <c r="D40" s="20">
        <f>D21+D22+D28</f>
        <v>94.1</v>
      </c>
      <c r="E40" s="124">
        <f>E21+E22+E28</f>
        <v>110</v>
      </c>
      <c r="F40" s="124">
        <f>F21+F22+F28</f>
        <v>261.20000000000005</v>
      </c>
      <c r="G40" s="121">
        <f>F40-E40</f>
        <v>151.20000000000005</v>
      </c>
      <c r="J40" s="20">
        <f>J21+J22+J28</f>
        <v>83.4</v>
      </c>
      <c r="K40" s="20">
        <f>K21+K22+K28</f>
        <v>130.4</v>
      </c>
      <c r="L40" s="20">
        <f>L21+L22+L28</f>
        <v>70.8</v>
      </c>
      <c r="M40" s="20">
        <f>M21+M22+M28</f>
        <v>94.1</v>
      </c>
      <c r="N40" s="20"/>
    </row>
    <row r="41" spans="1:14" ht="6.75" customHeight="1">
      <c r="A41" s="83"/>
      <c r="B41" s="83"/>
      <c r="C41" s="83"/>
      <c r="D41" s="83"/>
      <c r="E41" s="83"/>
      <c r="F41" s="83"/>
      <c r="G41" s="83"/>
    </row>
    <row r="42" spans="1:14" ht="18">
      <c r="B42" s="84" t="s">
        <v>71</v>
      </c>
      <c r="C42" s="84"/>
      <c r="D42" s="84" t="s">
        <v>136</v>
      </c>
      <c r="E42" s="84"/>
      <c r="G42" s="84"/>
    </row>
    <row r="43" spans="1:14" ht="16.5" customHeight="1">
      <c r="A43" s="83"/>
      <c r="B43" s="83"/>
      <c r="C43" s="83"/>
      <c r="D43" s="83"/>
      <c r="E43" s="83"/>
      <c r="F43" s="83"/>
      <c r="G43" s="83"/>
    </row>
    <row r="44" spans="1:14" ht="15.6">
      <c r="A44" s="83" t="s">
        <v>150</v>
      </c>
      <c r="B44" s="83"/>
      <c r="C44" s="83"/>
      <c r="D44" s="83"/>
      <c r="E44" s="83"/>
      <c r="F44" s="83"/>
      <c r="G44" s="83"/>
    </row>
    <row r="45" spans="1:14">
      <c r="D45" s="85"/>
    </row>
    <row r="46" spans="1:14">
      <c r="D46" s="85"/>
    </row>
  </sheetData>
  <mergeCells count="3">
    <mergeCell ref="A2:G2"/>
    <mergeCell ref="A3:G3"/>
    <mergeCell ref="J4:N4"/>
  </mergeCells>
  <phoneticPr fontId="5" type="noConversion"/>
  <printOptions horizontalCentered="1"/>
  <pageMargins left="0.39370078740157483" right="0.19685039370078741" top="0.39370078740157483" bottom="0.19685039370078741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отчет</vt:lpstr>
      <vt:lpstr>порівн.х-ка</vt:lpstr>
      <vt:lpstr>зпл.</vt:lpstr>
      <vt:lpstr>зпл.!Заголовки_для_печати</vt:lpstr>
      <vt:lpstr>отчет!Заголовки_для_печати</vt:lpstr>
      <vt:lpstr>зпл.!Область_печати</vt:lpstr>
      <vt:lpstr>отчет!Область_печати</vt:lpstr>
      <vt:lpstr>'порівн.х-ка'!Область_печати</vt:lpstr>
    </vt:vector>
  </TitlesOfParts>
  <Company>КП "Водоканал"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Пантелеевна</dc:creator>
  <cp:lastModifiedBy>Admin</cp:lastModifiedBy>
  <cp:lastPrinted>2020-01-29T12:50:45Z</cp:lastPrinted>
  <dcterms:created xsi:type="dcterms:W3CDTF">2011-04-21T10:01:16Z</dcterms:created>
  <dcterms:modified xsi:type="dcterms:W3CDTF">2021-09-30T06:59:28Z</dcterms:modified>
</cp:coreProperties>
</file>